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B:\college 2025\"/>
    </mc:Choice>
  </mc:AlternateContent>
  <xr:revisionPtr revIDLastSave="0" documentId="13_ncr:1_{9096DA5B-FFD7-4DC0-8F0A-12A19A09B047}" xr6:coauthVersionLast="47" xr6:coauthVersionMax="47" xr10:uidLastSave="{00000000-0000-0000-0000-000000000000}"/>
  <bookViews>
    <workbookView xWindow="-108" yWindow="-108" windowWidth="23256" windowHeight="12456" xr2:uid="{55D78C90-8CB9-43B2-96B4-9979C9CD43EC}"/>
  </bookViews>
  <sheets>
    <sheet name="Start-up cost " sheetId="8" r:id="rId1"/>
    <sheet name="Income Year 1" sheetId="2" r:id="rId2"/>
    <sheet name="Income year 2" sheetId="3" r:id="rId3"/>
    <sheet name="Income Year 3" sheetId="4" r:id="rId4"/>
    <sheet name="Cash Flow Year 1" sheetId="5" r:id="rId5"/>
    <sheet name="Cash Flow Year 2" sheetId="6" r:id="rId6"/>
    <sheet name="Cash Flow Year 3" sheetId="7" r:id="rId7"/>
    <sheet name="Balance sheet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5" l="1"/>
  <c r="D11" i="1"/>
  <c r="D10" i="1"/>
  <c r="D9" i="1"/>
  <c r="D8" i="1"/>
  <c r="D5" i="1"/>
  <c r="D4" i="1"/>
  <c r="D3" i="1"/>
  <c r="C11" i="1"/>
  <c r="C10" i="1"/>
  <c r="C9" i="1"/>
  <c r="C8" i="1"/>
  <c r="C5" i="1"/>
  <c r="C4" i="1"/>
  <c r="C3" i="1"/>
  <c r="B11" i="1"/>
  <c r="B10" i="1"/>
  <c r="B9" i="1"/>
  <c r="B8" i="1"/>
  <c r="B5" i="1"/>
  <c r="B4" i="1"/>
  <c r="B3" i="1"/>
  <c r="C11" i="5"/>
  <c r="D11" i="5"/>
  <c r="E11" i="5"/>
  <c r="F11" i="5"/>
  <c r="G11" i="5"/>
  <c r="H11" i="5"/>
  <c r="I11" i="5"/>
  <c r="J11" i="5"/>
  <c r="K11" i="5"/>
  <c r="L11" i="5"/>
  <c r="M11" i="5"/>
  <c r="B11" i="5"/>
  <c r="H19" i="7"/>
  <c r="I19" i="7"/>
  <c r="I21" i="7" s="1"/>
  <c r="J19" i="7"/>
  <c r="K19" i="7"/>
  <c r="L19" i="7"/>
  <c r="L21" i="7" s="1"/>
  <c r="K18" i="7"/>
  <c r="K20" i="7" s="1"/>
  <c r="C11" i="7"/>
  <c r="C18" i="7" s="1"/>
  <c r="C20" i="7" s="1"/>
  <c r="D11" i="7"/>
  <c r="D18" i="7" s="1"/>
  <c r="D20" i="7" s="1"/>
  <c r="E11" i="7"/>
  <c r="E18" i="7" s="1"/>
  <c r="E20" i="7" s="1"/>
  <c r="F11" i="7"/>
  <c r="F18" i="7" s="1"/>
  <c r="F20" i="7" s="1"/>
  <c r="G11" i="7"/>
  <c r="G18" i="7" s="1"/>
  <c r="G20" i="7" s="1"/>
  <c r="H11" i="7"/>
  <c r="H18" i="7" s="1"/>
  <c r="H20" i="7" s="1"/>
  <c r="I11" i="7"/>
  <c r="I18" i="7" s="1"/>
  <c r="I20" i="7" s="1"/>
  <c r="J11" i="7"/>
  <c r="J18" i="7" s="1"/>
  <c r="J20" i="7" s="1"/>
  <c r="K11" i="7"/>
  <c r="L11" i="7"/>
  <c r="L18" i="7" s="1"/>
  <c r="L20" i="7" s="1"/>
  <c r="M11" i="7"/>
  <c r="M18" i="7" s="1"/>
  <c r="M20" i="7" s="1"/>
  <c r="N11" i="7"/>
  <c r="N18" i="7" s="1"/>
  <c r="N20" i="7" s="1"/>
  <c r="B11" i="7"/>
  <c r="B18" i="7" s="1"/>
  <c r="B20" i="7" s="1"/>
  <c r="C8" i="7"/>
  <c r="D8" i="7"/>
  <c r="E8" i="7"/>
  <c r="F8" i="7"/>
  <c r="G8" i="7"/>
  <c r="H8" i="7"/>
  <c r="I8" i="7"/>
  <c r="J8" i="7"/>
  <c r="K8" i="7"/>
  <c r="L8" i="7"/>
  <c r="M8" i="7"/>
  <c r="N8" i="7"/>
  <c r="B8" i="7"/>
  <c r="L6" i="7"/>
  <c r="C7" i="7"/>
  <c r="C6" i="7" s="1"/>
  <c r="C19" i="7" s="1"/>
  <c r="C21" i="7" s="1"/>
  <c r="D7" i="7"/>
  <c r="D6" i="7" s="1"/>
  <c r="D19" i="7" s="1"/>
  <c r="D21" i="7" s="1"/>
  <c r="E7" i="7"/>
  <c r="E6" i="7" s="1"/>
  <c r="E19" i="7" s="1"/>
  <c r="E21" i="7" s="1"/>
  <c r="F7" i="7"/>
  <c r="F6" i="7" s="1"/>
  <c r="F19" i="7" s="1"/>
  <c r="G7" i="7"/>
  <c r="G6" i="7" s="1"/>
  <c r="G19" i="7" s="1"/>
  <c r="H7" i="7"/>
  <c r="H6" i="7" s="1"/>
  <c r="I7" i="7"/>
  <c r="I6" i="7" s="1"/>
  <c r="J7" i="7"/>
  <c r="J6" i="7" s="1"/>
  <c r="K7" i="7"/>
  <c r="K6" i="7" s="1"/>
  <c r="L7" i="7"/>
  <c r="M7" i="7"/>
  <c r="M6" i="7" s="1"/>
  <c r="M19" i="7" s="1"/>
  <c r="M21" i="7" s="1"/>
  <c r="N7" i="7"/>
  <c r="N6" i="7" s="1"/>
  <c r="N19" i="7" s="1"/>
  <c r="N21" i="7" s="1"/>
  <c r="B7" i="7"/>
  <c r="B6" i="7" s="1"/>
  <c r="B19" i="7" s="1"/>
  <c r="B21" i="7" s="1"/>
  <c r="N17" i="7"/>
  <c r="N16" i="7"/>
  <c r="N15" i="7"/>
  <c r="N14" i="7"/>
  <c r="N13" i="7"/>
  <c r="N12" i="7"/>
  <c r="N4" i="7"/>
  <c r="N3" i="7"/>
  <c r="C6" i="5"/>
  <c r="C9" i="5" s="1"/>
  <c r="D6" i="5"/>
  <c r="E6" i="5"/>
  <c r="F6" i="5"/>
  <c r="G6" i="5"/>
  <c r="H6" i="5"/>
  <c r="I6" i="5"/>
  <c r="J6" i="5"/>
  <c r="K6" i="5"/>
  <c r="K9" i="5" s="1"/>
  <c r="L6" i="5"/>
  <c r="L9" i="5" s="1"/>
  <c r="M6" i="5"/>
  <c r="M9" i="5" s="1"/>
  <c r="N6" i="5"/>
  <c r="N9" i="5" s="1"/>
  <c r="B6" i="5"/>
  <c r="C21" i="6"/>
  <c r="D21" i="6"/>
  <c r="E21" i="6"/>
  <c r="F21" i="6"/>
  <c r="G21" i="6"/>
  <c r="H21" i="6"/>
  <c r="I21" i="6"/>
  <c r="J21" i="6"/>
  <c r="K21" i="6"/>
  <c r="L21" i="6"/>
  <c r="M21" i="6"/>
  <c r="N21" i="6"/>
  <c r="B21" i="6"/>
  <c r="C19" i="6"/>
  <c r="D19" i="6"/>
  <c r="E19" i="6"/>
  <c r="F19" i="6"/>
  <c r="G19" i="6"/>
  <c r="H19" i="6"/>
  <c r="I19" i="6"/>
  <c r="J19" i="6"/>
  <c r="K19" i="6"/>
  <c r="L19" i="6"/>
  <c r="M19" i="6"/>
  <c r="N19" i="6"/>
  <c r="B19" i="6"/>
  <c r="C11" i="6"/>
  <c r="D11" i="6"/>
  <c r="E11" i="6"/>
  <c r="F11" i="6"/>
  <c r="G11" i="6"/>
  <c r="H11" i="6"/>
  <c r="I11" i="6"/>
  <c r="J11" i="6"/>
  <c r="K11" i="6"/>
  <c r="L11" i="6"/>
  <c r="M11" i="6"/>
  <c r="N11" i="6"/>
  <c r="B11" i="6"/>
  <c r="N18" i="6"/>
  <c r="N17" i="6"/>
  <c r="N16" i="6"/>
  <c r="N15" i="6"/>
  <c r="N14" i="6"/>
  <c r="N13" i="6"/>
  <c r="N12" i="6"/>
  <c r="N6" i="6"/>
  <c r="N4" i="6"/>
  <c r="N3" i="6"/>
  <c r="N2" i="6"/>
  <c r="D9" i="5"/>
  <c r="E9" i="5"/>
  <c r="F9" i="5"/>
  <c r="G9" i="5"/>
  <c r="H9" i="5"/>
  <c r="I9" i="5"/>
  <c r="J9" i="5"/>
  <c r="D8" i="5"/>
  <c r="D7" i="5" s="1"/>
  <c r="E8" i="5"/>
  <c r="E7" i="5" s="1"/>
  <c r="F8" i="5"/>
  <c r="F7" i="5" s="1"/>
  <c r="G8" i="5"/>
  <c r="G7" i="5" s="1"/>
  <c r="H8" i="5"/>
  <c r="H7" i="5" s="1"/>
  <c r="I8" i="5"/>
  <c r="I7" i="5" s="1"/>
  <c r="J8" i="5"/>
  <c r="J7" i="5" s="1"/>
  <c r="N18" i="5"/>
  <c r="N17" i="5"/>
  <c r="N16" i="5"/>
  <c r="N15" i="5"/>
  <c r="N14" i="5"/>
  <c r="N13" i="5"/>
  <c r="N5" i="5"/>
  <c r="N4" i="5"/>
  <c r="N3" i="5"/>
  <c r="N2" i="5"/>
  <c r="N12" i="4"/>
  <c r="N11" i="4"/>
  <c r="N10" i="4"/>
  <c r="N9" i="4"/>
  <c r="N8" i="4"/>
  <c r="N5" i="4"/>
  <c r="N4" i="4"/>
  <c r="N3" i="4"/>
  <c r="N14" i="4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N13" i="4"/>
  <c r="N2" i="3"/>
  <c r="N3" i="3"/>
  <c r="N4" i="3"/>
  <c r="N6" i="3"/>
  <c r="N7" i="3"/>
  <c r="N9" i="3"/>
  <c r="N10" i="3"/>
  <c r="N11" i="3"/>
  <c r="N12" i="3"/>
  <c r="N13" i="3"/>
  <c r="N14" i="3"/>
  <c r="N16" i="3"/>
  <c r="L16" i="2"/>
  <c r="L18" i="2" s="1"/>
  <c r="M16" i="2"/>
  <c r="M18" i="2" s="1"/>
  <c r="N2" i="2"/>
  <c r="N3" i="2"/>
  <c r="N4" i="2"/>
  <c r="N5" i="2"/>
  <c r="N17" i="2"/>
  <c r="B5" i="4"/>
  <c r="B8" i="4" s="1"/>
  <c r="B15" i="4" s="1"/>
  <c r="C5" i="4"/>
  <c r="C8" i="4" s="1"/>
  <c r="C15" i="4" s="1"/>
  <c r="C17" i="4" s="1"/>
  <c r="D5" i="4"/>
  <c r="D8" i="4" s="1"/>
  <c r="D15" i="4" s="1"/>
  <c r="D17" i="4" s="1"/>
  <c r="E5" i="4"/>
  <c r="E8" i="4" s="1"/>
  <c r="F5" i="4"/>
  <c r="F8" i="4" s="1"/>
  <c r="G5" i="4"/>
  <c r="G8" i="4" s="1"/>
  <c r="H5" i="4"/>
  <c r="H8" i="4" s="1"/>
  <c r="I5" i="4"/>
  <c r="I8" i="4" s="1"/>
  <c r="J5" i="4"/>
  <c r="J8" i="4" s="1"/>
  <c r="K5" i="4"/>
  <c r="K8" i="4" s="1"/>
  <c r="L5" i="4"/>
  <c r="L8" i="4" s="1"/>
  <c r="L15" i="4" s="1"/>
  <c r="M5" i="4"/>
  <c r="M8" i="4" s="1"/>
  <c r="M15" i="4" s="1"/>
  <c r="C5" i="3"/>
  <c r="C8" i="3" s="1"/>
  <c r="C15" i="3" s="1"/>
  <c r="D5" i="3"/>
  <c r="D8" i="3" s="1"/>
  <c r="D15" i="3" s="1"/>
  <c r="E5" i="3"/>
  <c r="E8" i="3" s="1"/>
  <c r="E15" i="3" s="1"/>
  <c r="F5" i="3"/>
  <c r="F8" i="3" s="1"/>
  <c r="F15" i="3" s="1"/>
  <c r="G5" i="3"/>
  <c r="G8" i="3" s="1"/>
  <c r="G15" i="3" s="1"/>
  <c r="H5" i="3"/>
  <c r="H8" i="3" s="1"/>
  <c r="H15" i="3" s="1"/>
  <c r="I5" i="3"/>
  <c r="I8" i="3" s="1"/>
  <c r="I15" i="3" s="1"/>
  <c r="J5" i="3"/>
  <c r="J8" i="3" s="1"/>
  <c r="J15" i="3" s="1"/>
  <c r="K5" i="3"/>
  <c r="K8" i="3" s="1"/>
  <c r="K15" i="3" s="1"/>
  <c r="K17" i="3" s="1"/>
  <c r="K18" i="3" s="1"/>
  <c r="L5" i="3"/>
  <c r="L8" i="3" s="1"/>
  <c r="L15" i="3" s="1"/>
  <c r="L17" i="3" s="1"/>
  <c r="M5" i="3"/>
  <c r="M8" i="3" s="1"/>
  <c r="M15" i="3" s="1"/>
  <c r="M17" i="3" s="1"/>
  <c r="B5" i="3"/>
  <c r="B8" i="3" s="1"/>
  <c r="B15" i="3" s="1"/>
  <c r="B6" i="2"/>
  <c r="F9" i="2"/>
  <c r="F16" i="2" s="1"/>
  <c r="M9" i="2"/>
  <c r="D6" i="2"/>
  <c r="D9" i="2" s="1"/>
  <c r="D16" i="2" s="1"/>
  <c r="D18" i="2" s="1"/>
  <c r="C6" i="2"/>
  <c r="C9" i="2" s="1"/>
  <c r="C16" i="2" s="1"/>
  <c r="E6" i="2"/>
  <c r="E9" i="2" s="1"/>
  <c r="E16" i="2" s="1"/>
  <c r="F6" i="2"/>
  <c r="G6" i="2"/>
  <c r="G9" i="2" s="1"/>
  <c r="G16" i="2" s="1"/>
  <c r="H6" i="2"/>
  <c r="H9" i="2" s="1"/>
  <c r="H16" i="2" s="1"/>
  <c r="I6" i="2"/>
  <c r="I9" i="2" s="1"/>
  <c r="I16" i="2" s="1"/>
  <c r="J6" i="2"/>
  <c r="J9" i="2" s="1"/>
  <c r="J16" i="2" s="1"/>
  <c r="K6" i="2"/>
  <c r="K9" i="2" s="1"/>
  <c r="K16" i="2" s="1"/>
  <c r="L6" i="2"/>
  <c r="L9" i="2" s="1"/>
  <c r="M6" i="2"/>
  <c r="C12" i="8"/>
  <c r="K21" i="7" l="1"/>
  <c r="J21" i="7"/>
  <c r="G21" i="7"/>
  <c r="F21" i="7"/>
  <c r="H21" i="7"/>
  <c r="M5" i="6"/>
  <c r="M9" i="6" s="1"/>
  <c r="L5" i="6"/>
  <c r="L9" i="6" s="1"/>
  <c r="K5" i="6"/>
  <c r="K9" i="6" s="1"/>
  <c r="J5" i="6"/>
  <c r="J9" i="6" s="1"/>
  <c r="I5" i="6"/>
  <c r="H5" i="6"/>
  <c r="F5" i="6"/>
  <c r="E5" i="6"/>
  <c r="D5" i="6"/>
  <c r="G5" i="6"/>
  <c r="B5" i="6"/>
  <c r="C5" i="6"/>
  <c r="K18" i="4"/>
  <c r="K19" i="4" s="1"/>
  <c r="J18" i="4"/>
  <c r="J19" i="4" s="1"/>
  <c r="I18" i="4"/>
  <c r="I19" i="4" s="1"/>
  <c r="H18" i="4"/>
  <c r="H19" i="4"/>
  <c r="G18" i="4"/>
  <c r="G19" i="4"/>
  <c r="F18" i="4"/>
  <c r="F19" i="4"/>
  <c r="E18" i="4"/>
  <c r="E19" i="4"/>
  <c r="D18" i="4"/>
  <c r="D19" i="4" s="1"/>
  <c r="C18" i="4"/>
  <c r="C19" i="4" s="1"/>
  <c r="B17" i="4"/>
  <c r="B18" i="4" s="1"/>
  <c r="M17" i="4"/>
  <c r="L17" i="4"/>
  <c r="N8" i="6"/>
  <c r="N7" i="6" s="1"/>
  <c r="N20" i="6" s="1"/>
  <c r="N22" i="6" s="1"/>
  <c r="M8" i="6"/>
  <c r="M7" i="6" s="1"/>
  <c r="M20" i="6" s="1"/>
  <c r="M22" i="6" s="1"/>
  <c r="L8" i="6"/>
  <c r="L7" i="6" s="1"/>
  <c r="L20" i="6" s="1"/>
  <c r="L22" i="6" s="1"/>
  <c r="K8" i="6"/>
  <c r="K7" i="6" s="1"/>
  <c r="K20" i="6" s="1"/>
  <c r="K22" i="6" s="1"/>
  <c r="J8" i="6"/>
  <c r="J7" i="6" s="1"/>
  <c r="J20" i="6" s="1"/>
  <c r="J22" i="6" s="1"/>
  <c r="J21" i="5"/>
  <c r="J12" i="5"/>
  <c r="J19" i="5" s="1"/>
  <c r="J20" i="5" s="1"/>
  <c r="I12" i="5"/>
  <c r="I19" i="5" s="1"/>
  <c r="I20" i="5" s="1"/>
  <c r="I21" i="5"/>
  <c r="I22" i="5" s="1"/>
  <c r="H12" i="5"/>
  <c r="H19" i="5" s="1"/>
  <c r="H20" i="5" s="1"/>
  <c r="H21" i="5"/>
  <c r="H22" i="5" s="1"/>
  <c r="G12" i="5"/>
  <c r="G19" i="5" s="1"/>
  <c r="G20" i="5" s="1"/>
  <c r="G21" i="5"/>
  <c r="G22" i="5" s="1"/>
  <c r="F12" i="5"/>
  <c r="F19" i="5" s="1"/>
  <c r="F20" i="5" s="1"/>
  <c r="F21" i="5"/>
  <c r="F22" i="5" s="1"/>
  <c r="E12" i="5"/>
  <c r="E19" i="5" s="1"/>
  <c r="E20" i="5" s="1"/>
  <c r="E21" i="5"/>
  <c r="E22" i="5" s="1"/>
  <c r="D12" i="5"/>
  <c r="D19" i="5" s="1"/>
  <c r="D20" i="5" s="1"/>
  <c r="D21" i="5"/>
  <c r="C8" i="5"/>
  <c r="C7" i="5"/>
  <c r="N8" i="5"/>
  <c r="N7" i="5"/>
  <c r="M8" i="5"/>
  <c r="M7" i="5"/>
  <c r="L8" i="5"/>
  <c r="L7" i="5"/>
  <c r="K8" i="5"/>
  <c r="K7" i="5"/>
  <c r="B9" i="5"/>
  <c r="B8" i="5"/>
  <c r="B7" i="5" s="1"/>
  <c r="L19" i="2"/>
  <c r="L20" i="2" s="1"/>
  <c r="D19" i="2"/>
  <c r="D20" i="2" s="1"/>
  <c r="F18" i="2"/>
  <c r="M19" i="2"/>
  <c r="M20" i="2" s="1"/>
  <c r="J18" i="2"/>
  <c r="I18" i="2"/>
  <c r="H18" i="2"/>
  <c r="G18" i="2"/>
  <c r="B9" i="2"/>
  <c r="B16" i="2" s="1"/>
  <c r="B18" i="2" s="1"/>
  <c r="E18" i="2"/>
  <c r="K18" i="2"/>
  <c r="C18" i="2"/>
  <c r="M18" i="3"/>
  <c r="M19" i="3" s="1"/>
  <c r="L18" i="3"/>
  <c r="L19" i="3" s="1"/>
  <c r="J17" i="3"/>
  <c r="I17" i="3"/>
  <c r="K19" i="3"/>
  <c r="H17" i="3"/>
  <c r="F17" i="3"/>
  <c r="E17" i="3"/>
  <c r="G17" i="3"/>
  <c r="D17" i="3"/>
  <c r="B17" i="3"/>
  <c r="C17" i="3"/>
  <c r="N8" i="3"/>
  <c r="N15" i="3" s="1"/>
  <c r="N5" i="3"/>
  <c r="N5" i="6" s="1"/>
  <c r="N9" i="6" s="1"/>
  <c r="N10" i="2"/>
  <c r="N11" i="2"/>
  <c r="N12" i="2"/>
  <c r="N6" i="2"/>
  <c r="J22" i="5" l="1"/>
  <c r="H8" i="6"/>
  <c r="H7" i="6" s="1"/>
  <c r="H20" i="6" s="1"/>
  <c r="H22" i="6" s="1"/>
  <c r="H9" i="6"/>
  <c r="I8" i="6"/>
  <c r="I7" i="6" s="1"/>
  <c r="I20" i="6" s="1"/>
  <c r="I22" i="6" s="1"/>
  <c r="I9" i="6"/>
  <c r="C9" i="6"/>
  <c r="C8" i="6"/>
  <c r="C7" i="6" s="1"/>
  <c r="C20" i="6" s="1"/>
  <c r="C22" i="6" s="1"/>
  <c r="B9" i="6"/>
  <c r="B8" i="6"/>
  <c r="B7" i="6" s="1"/>
  <c r="B20" i="6" s="1"/>
  <c r="B22" i="6" s="1"/>
  <c r="G9" i="6"/>
  <c r="G8" i="6"/>
  <c r="G7" i="6" s="1"/>
  <c r="G20" i="6" s="1"/>
  <c r="G22" i="6" s="1"/>
  <c r="D9" i="6"/>
  <c r="D8" i="6"/>
  <c r="D7" i="6" s="1"/>
  <c r="D20" i="6" s="1"/>
  <c r="D22" i="6" s="1"/>
  <c r="E8" i="6"/>
  <c r="E7" i="6" s="1"/>
  <c r="E20" i="6" s="1"/>
  <c r="E22" i="6" s="1"/>
  <c r="E9" i="6"/>
  <c r="F9" i="6"/>
  <c r="F8" i="6"/>
  <c r="F7" i="6" s="1"/>
  <c r="F20" i="6" s="1"/>
  <c r="F22" i="6" s="1"/>
  <c r="L18" i="4"/>
  <c r="L19" i="4"/>
  <c r="M18" i="4"/>
  <c r="M19" i="4"/>
  <c r="K12" i="5"/>
  <c r="K19" i="5" s="1"/>
  <c r="K20" i="5" s="1"/>
  <c r="K21" i="5"/>
  <c r="L12" i="5"/>
  <c r="L19" i="5" s="1"/>
  <c r="L20" i="5" s="1"/>
  <c r="L21" i="5"/>
  <c r="M12" i="5"/>
  <c r="M19" i="5" s="1"/>
  <c r="M20" i="5" s="1"/>
  <c r="M21" i="5"/>
  <c r="M22" i="5" s="1"/>
  <c r="N12" i="5"/>
  <c r="N21" i="5"/>
  <c r="C12" i="5"/>
  <c r="C19" i="5" s="1"/>
  <c r="C20" i="5" s="1"/>
  <c r="C21" i="5"/>
  <c r="D22" i="5"/>
  <c r="B21" i="5"/>
  <c r="B12" i="5"/>
  <c r="B20" i="5" s="1"/>
  <c r="B19" i="2"/>
  <c r="B20" i="2" s="1"/>
  <c r="G19" i="2"/>
  <c r="G20" i="2" s="1"/>
  <c r="H19" i="2"/>
  <c r="H20" i="2"/>
  <c r="I19" i="2"/>
  <c r="I20" i="2" s="1"/>
  <c r="J19" i="2"/>
  <c r="J20" i="2" s="1"/>
  <c r="F19" i="2"/>
  <c r="F20" i="2" s="1"/>
  <c r="N9" i="2"/>
  <c r="C19" i="2"/>
  <c r="C20" i="2"/>
  <c r="K19" i="2"/>
  <c r="K20" i="2"/>
  <c r="E19" i="2"/>
  <c r="E20" i="2" s="1"/>
  <c r="G18" i="3"/>
  <c r="G19" i="3" s="1"/>
  <c r="E18" i="3"/>
  <c r="E19" i="3" s="1"/>
  <c r="I18" i="3"/>
  <c r="I19" i="3" s="1"/>
  <c r="J18" i="3"/>
  <c r="J19" i="3"/>
  <c r="C18" i="3"/>
  <c r="C19" i="3" s="1"/>
  <c r="B18" i="3"/>
  <c r="B19" i="3"/>
  <c r="D18" i="3"/>
  <c r="D19" i="3" s="1"/>
  <c r="F18" i="3"/>
  <c r="F19" i="3" s="1"/>
  <c r="H18" i="3"/>
  <c r="H19" i="3" s="1"/>
  <c r="N17" i="3"/>
  <c r="N15" i="4"/>
  <c r="N17" i="4" s="1"/>
  <c r="N13" i="2"/>
  <c r="N14" i="2"/>
  <c r="N16" i="2" l="1"/>
  <c r="N18" i="2" s="1"/>
  <c r="N11" i="5"/>
  <c r="N19" i="5"/>
  <c r="N20" i="5" s="1"/>
  <c r="N22" i="5" s="1"/>
  <c r="K22" i="5"/>
  <c r="C22" i="5"/>
  <c r="L22" i="5"/>
  <c r="B22" i="5"/>
  <c r="N18" i="4"/>
  <c r="N19" i="4"/>
  <c r="N19" i="2"/>
  <c r="N20" i="2" s="1"/>
  <c r="N18" i="3"/>
  <c r="N19" i="3" s="1"/>
  <c r="B19" i="4"/>
  <c r="N15" i="2"/>
</calcChain>
</file>

<file path=xl/sharedStrings.xml><?xml version="1.0" encoding="utf-8"?>
<sst xmlns="http://schemas.openxmlformats.org/spreadsheetml/2006/main" count="317" uniqueCount="130">
  <si>
    <t>Start-Up Costs and Funding</t>
  </si>
  <si>
    <t xml:space="preserve">Catogory </t>
  </si>
  <si>
    <t>Details</t>
  </si>
  <si>
    <t>Estimated cost</t>
  </si>
  <si>
    <t>Kitchen Equipments</t>
  </si>
  <si>
    <t xml:space="preserve">Tandoori Trails Financial Plan </t>
  </si>
  <si>
    <t>Tandoor ovens, gas burners, utensils, storage containers</t>
  </si>
  <si>
    <t>Furniture &amp; Setup</t>
  </si>
  <si>
    <t>Initial Inventory</t>
  </si>
  <si>
    <t>Ingredients, packaging, uniforms, safety gear</t>
  </si>
  <si>
    <t>Licensing &amp; Permits</t>
  </si>
  <si>
    <t>Business registration, food safety certification</t>
  </si>
  <si>
    <t>Marketing &amp; Branding</t>
  </si>
  <si>
    <t>Logo, website, social media setup</t>
  </si>
  <si>
    <t>Transportation</t>
  </si>
  <si>
    <t>Small catering van and fuel</t>
  </si>
  <si>
    <t>Contingency</t>
  </si>
  <si>
    <t>Miscellaneous and emergency costs</t>
  </si>
  <si>
    <t>Total startup cost</t>
  </si>
  <si>
    <t>Funding Source:</t>
  </si>
  <si>
    <t>Owner investment: $15,000</t>
  </si>
  <si>
    <t>Small business loan: $10,000</t>
  </si>
  <si>
    <t>Community grant: $2,000</t>
  </si>
  <si>
    <t>Income Year 1</t>
  </si>
  <si>
    <t>Tables, tents, chairs, decor for outdoor dining</t>
  </si>
  <si>
    <t>Revenue</t>
  </si>
  <si>
    <t>Private Event ( 25 Event @920 average )</t>
  </si>
  <si>
    <t xml:space="preserve">Expenses </t>
  </si>
  <si>
    <t>Amount</t>
  </si>
  <si>
    <t>Labour and Saff wages</t>
  </si>
  <si>
    <t>Marketing &amp; Promotion</t>
  </si>
  <si>
    <t>Transportation (fuel, maintenance)</t>
  </si>
  <si>
    <t>Rent</t>
  </si>
  <si>
    <t>Utilities</t>
  </si>
  <si>
    <t>Licenses, Insurance &amp; Misc.</t>
  </si>
  <si>
    <t>Total Expenses</t>
  </si>
  <si>
    <t>Net Profit before tax</t>
  </si>
  <si>
    <t>Total Net Profit</t>
  </si>
  <si>
    <t>Income year 2</t>
  </si>
  <si>
    <t>Catering Event(90 events @1300 avg)</t>
  </si>
  <si>
    <t>Expenses</t>
  </si>
  <si>
    <t>Labour</t>
  </si>
  <si>
    <t>Marketing</t>
  </si>
  <si>
    <t>Income Year 3</t>
  </si>
  <si>
    <t>Catering Event (120 Events @1400 avg)</t>
  </si>
  <si>
    <t>Total expenses</t>
  </si>
  <si>
    <t>Months</t>
  </si>
  <si>
    <t xml:space="preserve">January </t>
  </si>
  <si>
    <t xml:space="preserve">feburary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</si>
  <si>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</si>
  <si>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</si>
  <si>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</si>
  <si>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</si>
  <si>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</si>
  <si>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</si>
  <si>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</si>
  <si>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</si>
  <si>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</si>
  <si>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</si>
  <si>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Revenues categories</t>
  </si>
  <si>
    <t>Catering events</t>
  </si>
  <si>
    <t>Private Events</t>
  </si>
  <si>
    <t>COGS</t>
  </si>
  <si>
    <t>Revenue per month</t>
  </si>
  <si>
    <t>TAX @12%</t>
  </si>
  <si>
    <t>Catering Event</t>
  </si>
  <si>
    <t xml:space="preserve">Private Event </t>
  </si>
  <si>
    <t>Januray</t>
  </si>
  <si>
    <t>feburay</t>
  </si>
  <si>
    <t xml:space="preserve">march </t>
  </si>
  <si>
    <t>Private Event (40 events @650 avg)</t>
  </si>
  <si>
    <t xml:space="preserve"> Tax @12%</t>
  </si>
  <si>
    <t>JANURAY</t>
  </si>
  <si>
    <t>FEBURAY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</si>
  <si>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</si>
  <si>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</si>
  <si>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</si>
  <si>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</si>
  <si>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</si>
  <si>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</si>
  <si>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</si>
  <si>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</si>
  <si>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</si>
  <si>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</si>
  <si>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Private Events (60 Event @490 avg)</t>
  </si>
  <si>
    <r>
      <rPr>
        <sz val="11"/>
        <color theme="1"/>
        <rFont val="Aptos Narrow"/>
        <family val="2"/>
        <scheme val="minor"/>
      </rPr>
      <t>Tax</t>
    </r>
    <r>
      <rPr>
        <b/>
        <sz val="11"/>
        <color theme="1"/>
        <rFont val="Aptos Narrow"/>
        <family val="2"/>
        <scheme val="minor"/>
      </rPr>
      <t xml:space="preserve"> 12%</t>
    </r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</si>
  <si>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</si>
  <si>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</si>
  <si>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</si>
  <si>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</si>
  <si>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</si>
  <si>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</si>
  <si>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</si>
  <si>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</si>
  <si>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</si>
  <si>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</si>
  <si>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</si>
  <si>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</si>
  <si>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</si>
  <si>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CASH FLOW YEAR 1</t>
  </si>
  <si>
    <t>TOTAL SALES</t>
  </si>
  <si>
    <t>CASH IN</t>
  </si>
  <si>
    <t>ACCOUNT RECEIABLE</t>
  </si>
  <si>
    <t>TOTAL CASH IN</t>
  </si>
  <si>
    <t>ACCOUNTS PAYBLE</t>
  </si>
  <si>
    <t>CASH OUT</t>
  </si>
  <si>
    <t>CASH OUT LAYS</t>
  </si>
  <si>
    <t>CASH IN LAYS</t>
  </si>
  <si>
    <t>NET CASHFLOW</t>
  </si>
  <si>
    <t>ACCOUNT RECEIVABLE</t>
  </si>
  <si>
    <t>ACCOUN PAYBLE</t>
  </si>
  <si>
    <t>TOTAL CASH OUT</t>
  </si>
  <si>
    <t>CASH INLAY</t>
  </si>
  <si>
    <t>CASH OUTLAYS</t>
  </si>
  <si>
    <t>NET CASH FLOW</t>
  </si>
  <si>
    <t>$2,500</t>
  </si>
  <si>
    <t>Catering Event ( @1200 average)</t>
  </si>
  <si>
    <t>CATEGORY</t>
  </si>
  <si>
    <t xml:space="preserve">YEAR 1 </t>
  </si>
  <si>
    <t xml:space="preserve">YEAR 2 </t>
  </si>
  <si>
    <t>YEAR 3</t>
  </si>
  <si>
    <t>ASSETS</t>
  </si>
  <si>
    <t>CASH</t>
  </si>
  <si>
    <t>ACCOUNTS Receivable</t>
  </si>
  <si>
    <t>TOTAL ASSETS</t>
  </si>
  <si>
    <t>LIABILITIES</t>
  </si>
  <si>
    <t>Accounts Payable</t>
  </si>
  <si>
    <t>tandoori trail equity</t>
  </si>
  <si>
    <t>total equity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</si>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</sst>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164" formatCode="_-[$$-1009]* #,##0.00_-;\-[$$-1009]* #,##0.00_-;_-[$$-1009]* &quot;-&quot;??_-;_-@_-"/>
    <numFmt numFmtId="165" formatCode="[$$-1009]#,##0;[Red]\-[$$-1009]#,##0"/>
    <numFmt numFmtId="166" formatCode="[$$-1009]#,##0.00"/>
    <numFmt numFmtId="167" formatCode="[$$-1009]#,##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3" tint="0.249977111117893"/>
      <name val="Aptos Narrow"/>
      <family val="2"/>
      <scheme val="minor"/>
    </font>
    <font>
      <sz val="12"/>
      <color theme="9" tint="-0.249977111117893"/>
      <name val="Times New Roman"/>
      <family val="1"/>
    </font>
    <font>
      <b/>
      <sz val="14"/>
      <color theme="9" tint="-0.249977111117893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6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/>
    <xf numFmtId="0" fontId="5" fillId="0" borderId="0" xfId="0" applyFont="1" applyAlignment="1">
      <alignment horizontal="left" vertical="top" indent="1"/>
    </xf>
    <xf numFmtId="0" fontId="2" fillId="0" borderId="0" xfId="0" applyFont="1"/>
    <xf numFmtId="0" fontId="6" fillId="0" borderId="0" xfId="0" applyFont="1" applyAlignment="1">
      <alignment horizontal="left" vertical="center" indent="1"/>
    </xf>
    <xf numFmtId="0" fontId="7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8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6" fontId="0" fillId="2" borderId="0" xfId="0" applyNumberFormat="1" applyFill="1"/>
    <xf numFmtId="166" fontId="1" fillId="0" borderId="0" xfId="0" applyNumberFormat="1" applyFont="1"/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21">
    <dxf>
      <numFmt numFmtId="10" formatCode="&quot;$&quot;#,##0;[Red]\-&quot;$&quot;#,##0"/>
    </dxf>
    <dxf>
      <numFmt numFmtId="10" formatCode="&quot;$&quot;#,##0;[Red]\-&quot;$&quot;#,##0"/>
    </dxf>
    <dxf>
      <numFmt numFmtId="10" formatCode="&quot;$&quot;#,##0;[Red]\-&quot;$&quot;#,##0"/>
    </dxf>
    <dxf>
      <numFmt numFmtId="0" formatCode="General"/>
    </dxf>
    <dxf>
      <numFmt numFmtId="10" formatCode="&quot;$&quot;#,##0;[Red]\-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0" formatCode="General"/>
    </dxf>
    <dxf>
      <numFmt numFmtId="10" formatCode="&quot;$&quot;#,##0;[Red]\-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10" formatCode="&quot;$&quot;#,##0;[Red]\-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0" formatCode="&quot;$&quot;#,##0;[Red]\-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ptos Narrow"/>
        <family val="2"/>
        <scheme val="minor"/>
      </font>
      <alignment horizontal="left" vertical="top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ACCDB6-71EE-49AA-99FD-B455844C9162}" name="Table1" displayName="Table1" ref="A1:C18" totalsRowShown="0" headerRowDxfId="20">
  <autoFilter ref="A1:C18" xr:uid="{7FACCDB6-71EE-49AA-99FD-B455844C9162}"/>
  <tableColumns count="3">
    <tableColumn id="1" xr3:uid="{4CBB0695-14B1-4343-936E-F7E4C1BB0BCE}" name="Column1"/>
    <tableColumn id="2" xr3:uid="{9EAE9B49-A404-462A-9A89-67FF3061347F}" name="Column2" dataDxfId="19"/>
    <tableColumn id="3" xr3:uid="{D8284A1D-B74E-46C6-9F7E-E727A1EC173F}" name="Column3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4D3C8F9-6364-4394-852C-DA9E7EF2B5EF}" name="Table611" displayName="Table611" ref="A1:N21" totalsRowShown="0">
  <autoFilter ref="A1:N21" xr:uid="{64D3C8F9-6364-4394-852C-DA9E7EF2B5EF}"/>
  <tableColumns count="14">
    <tableColumn id="1" xr3:uid="{B3AC8A23-957F-467F-B0F0-C23502F66926}" name="Income Year 3" dataDxfId="5"/>
    <tableColumn id="2" xr3:uid="{3590E85C-17DE-4E26-A559-E4533DA0DCF0}" name="Column1" dataDxfId="4"/>
    <tableColumn id="3" xr3:uid="{D99C8396-5D04-40BC-9B1B-39C9682FB995}" name="Column2"/>
    <tableColumn id="4" xr3:uid="{F4D085C1-C164-48C4-981B-62C05FB650CF}" name="Column3"/>
    <tableColumn id="5" xr3:uid="{063CEE42-8D20-479D-8D42-67EA00D439E1}" name="Column4"/>
    <tableColumn id="6" xr3:uid="{16EB18E1-6D21-40E5-A36F-A80C28733569}" name="Column5"/>
    <tableColumn id="7" xr3:uid="{9F3D95DF-EDC7-46DC-97F3-D71F6121AC1E}" name="Column6"/>
    <tableColumn id="8" xr3:uid="{57B7B2E2-8697-4945-9974-A12EBD5389F1}" name="Column7"/>
    <tableColumn id="9" xr3:uid="{2DC02AD7-5816-4F69-B1CE-92F66A1D9CC8}" name="Column8"/>
    <tableColumn id="10" xr3:uid="{C81FB3A7-7A97-4F2D-86F0-1248F6B1E708}" name="Column9"/>
    <tableColumn id="11" xr3:uid="{12EA2552-E3B7-4CAC-9AAF-CFC373F4C611}" name="Column10"/>
    <tableColumn id="12" xr3:uid="{3B8EA6B6-44E3-436D-80BB-5EE9BD051406}" name="Column11"/>
    <tableColumn id="13" xr3:uid="{25ACB864-A79A-4833-AE5C-E3C17BED5CC9}" name="Column12"/>
    <tableColumn id="14" xr3:uid="{3F4165A1-0EC3-485A-BD04-6C93E39175A3}" name="Column13" dataDxfId="3">
      <calculatedColumnFormula>SUM(B3:M3)</calculatedColumnFormula>
    </tableColumn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077A6EB-7049-4B7B-9C48-0FA947A05D9A}" name="Table11" displayName="Table11" ref="A1:D11" totalsRowShown="0">
  <autoFilter ref="A1:D11" xr:uid="{D077A6EB-7049-4B7B-9C48-0FA947A05D9A}"/>
  <tableColumns count="4">
    <tableColumn id="1" xr3:uid="{54C23629-787E-40CD-B3EF-F07DAB320948}" name="CATEGORY"/>
    <tableColumn id="2" xr3:uid="{65D4A83B-CBF2-421F-B017-24AEA012F055}" name="YEAR 1 " dataDxfId="2"/>
    <tableColumn id="3" xr3:uid="{84370CCD-CD57-41A7-A926-8C1DF9F64819}" name="YEAR 2 " dataDxfId="1"/>
    <tableColumn id="4" xr3:uid="{53D3E9C3-4966-4256-A2CA-6B19D7CFF13B}" name="YEAR 3" dataDxfId="0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D25D50-4B56-432E-BCEE-E3EA2D5CAF7D}" name="Table2" displayName="Table2" ref="A1:N20" totalsRowShown="0">
  <autoFilter ref="A1:N20" xr:uid="{B7D25D50-4B56-432E-BCEE-E3EA2D5CAF7D}"/>
  <tableColumns count="14">
    <tableColumn id="1" xr3:uid="{1924C662-2A6B-42BD-BBF1-90AC9320E8C1}" name="Income Year 1" dataDxfId="18"/>
    <tableColumn id="2" xr3:uid="{D51F614B-6231-472C-BA31-9CC40FDB5976}" name="Column1" dataDxfId="17"/>
    <tableColumn id="3" xr3:uid="{EB3CAC72-B703-4E76-93C4-C52DAE932064}" name="Column2"/>
    <tableColumn id="4" xr3:uid="{61F28FE1-FD69-47DC-8610-9EF5426154BE}" name="Column3"/>
    <tableColumn id="5" xr3:uid="{C7BF2559-C1DB-44D2-B8F3-34653F16F88E}" name="Column4"/>
    <tableColumn id="6" xr3:uid="{725BA97C-8C8C-4C48-BB33-563083F05463}" name="Column5"/>
    <tableColumn id="7" xr3:uid="{178843C8-68FF-437A-9C01-96FC8849D630}" name="Column6"/>
    <tableColumn id="8" xr3:uid="{CD353AE4-94F1-45A0-98D9-AF2420C91D4D}" name="Column7"/>
    <tableColumn id="9" xr3:uid="{0C100244-826B-4ADF-9DE3-2EEAE66E63AE}" name="Column8"/>
    <tableColumn id="10" xr3:uid="{B1A026EC-DB04-4930-9849-BA8F422FACF7}" name="Column9"/>
    <tableColumn id="11" xr3:uid="{712AF1E2-9268-4A5E-B1D6-E45B50B39169}" name="Column10"/>
    <tableColumn id="12" xr3:uid="{19DBFAFF-DE03-48D8-AA4F-697F80E22B44}" name="Column11"/>
    <tableColumn id="13" xr3:uid="{4900E044-6798-46CB-9048-A382E8AA45B9}" name="Column12"/>
    <tableColumn id="14" xr3:uid="{5D517092-DB55-4E66-A10A-035EE8D5D73F}" name="Column13" dataDxfId="13">
      <calculatedColumnFormula>SUM(Table2[[#This Row],[Column1]:[Column12]])</calculatedColumnFormula>
    </tableColumn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3365E7-F9B2-47F5-B6BB-4E81D4843C3D}" name="Table3" displayName="Table3" ref="O14:P17" totalsRowShown="0">
  <autoFilter ref="O14:P17" xr:uid="{BF3365E7-F9B2-47F5-B6BB-4E81D4843C3D}"/>
  <tableColumns count="2">
    <tableColumn id="1" xr3:uid="{8A7372BD-06A2-4B3E-BDD7-602B82B6E474}" name="Column1"/>
    <tableColumn id="2" xr3:uid="{D1388796-6F2C-457A-A045-65DF1B013B89}" name="Column2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EF7EBC-12D2-4BEF-8C11-39F319896284}" name="Table4" displayName="Table4" ref="A1:N19" totalsRowShown="0">
  <autoFilter ref="A1:N19" xr:uid="{08EF7EBC-12D2-4BEF-8C11-39F319896284}"/>
  <tableColumns count="14">
    <tableColumn id="1" xr3:uid="{F7ADA080-96C7-4469-8F94-274263EE2255}" name="Income year 2" dataDxfId="16"/>
    <tableColumn id="2" xr3:uid="{617163CC-5E5C-44F1-822E-9F922515006E}" name="Column1"/>
    <tableColumn id="3" xr3:uid="{F4AA99C5-4D03-4A12-AE42-A613AF2B9E42}" name="Column2"/>
    <tableColumn id="4" xr3:uid="{6689315D-B31D-4192-8B50-3CEB174F8A17}" name="Column3"/>
    <tableColumn id="5" xr3:uid="{9D7E3CF3-6D7E-484F-A8C5-39A133EA14B4}" name="Column4"/>
    <tableColumn id="6" xr3:uid="{2EC5F717-132C-4CBC-95B9-3F03DC4B9F0D}" name="Column5"/>
    <tableColumn id="7" xr3:uid="{D899FBA6-9CBE-451A-BE1C-AF8D4B4153DC}" name="Column6"/>
    <tableColumn id="8" xr3:uid="{CEF7B528-266E-4015-8EE5-F7F82E2C23E1}" name="Column7"/>
    <tableColumn id="9" xr3:uid="{A42C1875-FE78-4FF4-BEDD-09226FE1B7B2}" name="Column8"/>
    <tableColumn id="10" xr3:uid="{26AA6AD7-86C3-4766-9079-FF0B5648F06C}" name="Column9"/>
    <tableColumn id="11" xr3:uid="{45E26019-FA3F-4914-9909-D085FD079912}" name="Column10"/>
    <tableColumn id="12" xr3:uid="{44D2CAA1-A0C4-4233-B3DF-0BB6AAB1730C}" name="Column11"/>
    <tableColumn id="13" xr3:uid="{8A3D4CE5-3B4E-409A-8193-5BA55496BB23}" name="Column12"/>
    <tableColumn id="14" xr3:uid="{A796A1A2-29C1-4927-B25D-DC5F170DC9FC}" name="Column13" dataDxfId="12">
      <calculatedColumnFormula>SUM(Table4[[#This Row],[Column1]:[Column12]])</calculatedColumnFormula>
    </tableColumn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F0FB8B6-F51F-4E67-9791-463D64BB489F}" name="Table5" displayName="Table5" ref="P12:R15" totalsRowShown="0">
  <autoFilter ref="P12:R15" xr:uid="{FF0FB8B6-F51F-4E67-9791-463D64BB489F}"/>
  <tableColumns count="3">
    <tableColumn id="1" xr3:uid="{B01C589C-650E-4F94-82AB-3E34E9E96882}" name="Column1"/>
    <tableColumn id="2" xr3:uid="{8C366A1A-C439-4AFA-984B-A7464A0EC576}" name="Column2"/>
    <tableColumn id="3" xr3:uid="{87B17F75-8113-4D5F-8B35-F381283B36E9}" name="Column3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3E60B7-7991-46A9-8307-375027331A73}" name="Table6" displayName="Table6" ref="A1:N19" totalsRowShown="0">
  <autoFilter ref="A1:N19" xr:uid="{AA3E60B7-7991-46A9-8307-375027331A73}"/>
  <tableColumns count="14">
    <tableColumn id="1" xr3:uid="{3FF47C7F-9641-4B9F-BFA1-D96794692C3C}" name="Income Year 3" dataDxfId="15"/>
    <tableColumn id="2" xr3:uid="{EA78163B-FAE5-407F-89CA-6EB03017FA4F}" name="Column1" dataDxfId="14"/>
    <tableColumn id="3" xr3:uid="{E21B13C7-5904-4A7F-A19B-694C5268E4D6}" name="Column2"/>
    <tableColumn id="4" xr3:uid="{193A7AEF-E207-4A2A-836F-A5DB708DA228}" name="Column3"/>
    <tableColumn id="5" xr3:uid="{E9F6A3E8-C570-4D1D-A00E-2A3810F73F80}" name="Column4"/>
    <tableColumn id="6" xr3:uid="{4051F96A-EF6F-424F-8544-B3880330BCDD}" name="Column5"/>
    <tableColumn id="7" xr3:uid="{B946753C-1A74-4235-A688-E2724F0E7C9D}" name="Column6"/>
    <tableColumn id="8" xr3:uid="{45141B9C-FC08-470A-8484-DA174F3A0E88}" name="Column7"/>
    <tableColumn id="9" xr3:uid="{2359DD84-5D80-4DC0-BBA8-A03019B1B46D}" name="Column8"/>
    <tableColumn id="10" xr3:uid="{527ACB04-8D43-413E-82CB-94B28940CBFA}" name="Column9"/>
    <tableColumn id="11" xr3:uid="{B4E60DD6-5D96-4B34-AC19-0600DD5A3673}" name="Column10"/>
    <tableColumn id="12" xr3:uid="{6FE0C77F-F14F-4198-86EC-64BD3110A490}" name="Column11"/>
    <tableColumn id="13" xr3:uid="{5A890358-F6E1-40F5-A9E3-D82D10CBA65F}" name="Column12"/>
    <tableColumn id="14" xr3:uid="{E6A491A0-6052-44DA-AD9B-036575C5E19C}" name="Column13" dataDxfId="11">
      <calculatedColumnFormula>SUM(B3:M3)</calculatedColumnFormula>
    </tableColumn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5F8DF9A-008F-4702-9D03-B541BCA42048}" name="Table7" displayName="Table7" ref="P2:Q4" totalsRowShown="0">
  <autoFilter ref="P2:Q4" xr:uid="{35F8DF9A-008F-4702-9D03-B541BCA42048}"/>
  <tableColumns count="2">
    <tableColumn id="1" xr3:uid="{5A53FC0D-6914-4704-8D70-1C0F950DD1CB}" name="Catering Event (120 Events @1400 avg)"/>
    <tableColumn id="2" xr3:uid="{E42EB586-DA88-43AA-BFCE-32F9F84D9327}" name="$2,500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5B94424-338D-4625-A9DE-5FE9BAED031C}" name="Table29" displayName="Table29" ref="A1:N22" totalsRowShown="0">
  <autoFilter ref="A1:N22" xr:uid="{65B94424-338D-4625-A9DE-5FE9BAED031C}"/>
  <tableColumns count="14">
    <tableColumn id="1" xr3:uid="{48064CCA-0224-42A9-BA26-3F6EE4508909}" name="CASH FLOW YEAR 1" dataDxfId="10"/>
    <tableColumn id="2" xr3:uid="{67D00C71-6063-4E02-9597-A2AE3B69227A}" name="Column1" dataDxfId="9"/>
    <tableColumn id="3" xr3:uid="{C828C86C-7EF4-4A6D-8FEA-5893B18D6806}" name="Column2"/>
    <tableColumn id="4" xr3:uid="{1DAB1175-C0AD-473A-AB0F-FE39E6363A76}" name="Column3"/>
    <tableColumn id="5" xr3:uid="{5299DDFF-DF6E-41D5-8FF8-660E4B6B7F4E}" name="Column4"/>
    <tableColumn id="6" xr3:uid="{DC8335B7-A617-4FFE-875A-B28857EC3F45}" name="Column5"/>
    <tableColumn id="7" xr3:uid="{973623EF-53EA-4B6A-8B70-7AC548AE6C04}" name="Column6"/>
    <tableColumn id="8" xr3:uid="{4E157CDB-C277-4BAF-95BD-C9F34C371E56}" name="Column7"/>
    <tableColumn id="9" xr3:uid="{75AEBE95-8627-4B9A-B713-43467635278B}" name="Column8"/>
    <tableColumn id="10" xr3:uid="{1BADCD77-B0D1-450D-AC58-C6CDA76EFDFF}" name="Column9"/>
    <tableColumn id="11" xr3:uid="{9D235AE9-20E5-4537-96BD-22B9816102E6}" name="Column10"/>
    <tableColumn id="12" xr3:uid="{B645455F-8183-401B-8FD2-52F1DE56A1FC}" name="Column11"/>
    <tableColumn id="13" xr3:uid="{EBBB02B3-55AD-4925-A4F9-42EBCA935813}" name="Column12"/>
    <tableColumn id="14" xr3:uid="{10A64F1C-6CDC-4926-9B0A-043611E42118}" name="Column13" dataDxfId="8">
      <calculatedColumnFormula>SUM(Table29[[#This Row],[Column1]:[Column12]])</calculatedColumnFormula>
    </tableColumn>
  </tableColumns>
  <tableStyleInfo name="TableStyleLight1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9B73BE4-A420-4B3B-BCA1-A0C582C5D57D}" name="Table410" displayName="Table410" ref="A1:N22" totalsRowShown="0">
  <autoFilter ref="A1:N22" xr:uid="{09B73BE4-A420-4B3B-BCA1-A0C582C5D57D}"/>
  <tableColumns count="14">
    <tableColumn id="1" xr3:uid="{A8206FC1-9425-4C5A-974F-C4647288DD16}" name="Income year 2" dataDxfId="7"/>
    <tableColumn id="2" xr3:uid="{BB38FA67-39AB-41B6-ABDB-C513935B01E6}" name="Column1"/>
    <tableColumn id="3" xr3:uid="{C1C38FF4-7E8A-48A6-AE84-E837D1042562}" name="Column2"/>
    <tableColumn id="4" xr3:uid="{116A8D61-40D5-4CE3-942D-B1484CB7B148}" name="Column3"/>
    <tableColumn id="5" xr3:uid="{D5548ABA-65A0-46C7-9213-2EE8D3967523}" name="Column4"/>
    <tableColumn id="6" xr3:uid="{2841CB4D-8575-47E7-93F1-F67C692DEAE7}" name="Column5"/>
    <tableColumn id="7" xr3:uid="{E85B1882-0070-4FB3-9C18-86E8362B4A18}" name="Column6"/>
    <tableColumn id="8" xr3:uid="{AF643E3B-5374-41E8-89BE-CEA4EBE198AD}" name="Column7"/>
    <tableColumn id="9" xr3:uid="{2669FBFD-504A-4DD8-A8E3-8DD1AF7EF918}" name="Column8"/>
    <tableColumn id="10" xr3:uid="{4665F6F9-B04B-4B06-84A4-326569C819DF}" name="Column9"/>
    <tableColumn id="11" xr3:uid="{C2685178-BA91-4586-9718-FCA2D7C3BE7A}" name="Column10"/>
    <tableColumn id="12" xr3:uid="{68DB5AB9-D598-4014-9D7B-00781F6D863E}" name="Column11"/>
    <tableColumn id="13" xr3:uid="{E708A6D0-4655-4E5E-A99C-01AE83F1D38E}" name="Column12"/>
    <tableColumn id="14" xr3:uid="{A5F16C81-86F7-444F-997E-198C23F9E0CA}" name="Column13" dataDxfId="6">
      <calculatedColumnFormula>SUM(Table410[[#This Row],[Column1]:[Column12]])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F7CA-3C37-4BEC-9C2F-0ED05E127B01}">
  <dimension ref="A1:I18"/>
  <sheetViews>
    <sheetView tabSelected="1" zoomScale="120" zoomScaleNormal="120" workbookViewId="0">
      <selection activeCell="B1" sqref="B1"/>
    </sheetView>
  </sheetViews>
  <sheetFormatPr defaultRowHeight="14.4" x14ac:dyDescent="0.3"/>
  <cols>
    <col min="1" max="1" width="18.77734375" customWidth="1"/>
    <col min="2" max="2" width="46.6640625" bestFit="1" customWidth="1"/>
    <col min="3" max="3" width="20.33203125" bestFit="1" customWidth="1"/>
  </cols>
  <sheetData>
    <row r="1" spans="1:9" ht="28.8" x14ac:dyDescent="0.3">
      <c r="A1" s="5" t="s">
        <v>86</v>
      </c>
      <c r="B1" s="5" t="s">
        <v>87</v>
      </c>
      <c r="C1" s="5" t="s">
        <v>88</v>
      </c>
      <c r="D1" s="5"/>
      <c r="E1" s="5"/>
      <c r="F1" s="5"/>
      <c r="G1" s="5"/>
      <c r="H1" s="5"/>
      <c r="I1" s="5"/>
    </row>
    <row r="2" spans="1:9" ht="28.8" x14ac:dyDescent="0.3">
      <c r="A2" s="5" t="s">
        <v>5</v>
      </c>
      <c r="B2" s="5"/>
      <c r="C2" s="5"/>
    </row>
    <row r="3" spans="1:9" ht="17.399999999999999" x14ac:dyDescent="0.3">
      <c r="A3" s="16" t="s">
        <v>0</v>
      </c>
      <c r="B3" s="17"/>
      <c r="C3" s="17"/>
    </row>
    <row r="4" spans="1:9" ht="15.6" x14ac:dyDescent="0.3">
      <c r="A4" s="8" t="s">
        <v>1</v>
      </c>
      <c r="B4" s="8" t="s">
        <v>2</v>
      </c>
      <c r="C4" s="8" t="s">
        <v>3</v>
      </c>
    </row>
    <row r="5" spans="1:9" x14ac:dyDescent="0.3">
      <c r="A5" t="s">
        <v>4</v>
      </c>
      <c r="B5" t="s">
        <v>6</v>
      </c>
      <c r="C5" s="1">
        <v>8000</v>
      </c>
    </row>
    <row r="6" spans="1:9" x14ac:dyDescent="0.3">
      <c r="A6" t="s">
        <v>7</v>
      </c>
      <c r="B6" t="s">
        <v>24</v>
      </c>
      <c r="C6" s="1">
        <v>5000</v>
      </c>
    </row>
    <row r="7" spans="1:9" x14ac:dyDescent="0.3">
      <c r="A7" t="s">
        <v>8</v>
      </c>
      <c r="B7" t="s">
        <v>9</v>
      </c>
      <c r="C7" s="1">
        <v>2500</v>
      </c>
    </row>
    <row r="8" spans="1:9" x14ac:dyDescent="0.3">
      <c r="A8" t="s">
        <v>10</v>
      </c>
      <c r="B8" t="s">
        <v>11</v>
      </c>
      <c r="C8" s="1">
        <v>1000</v>
      </c>
    </row>
    <row r="9" spans="1:9" x14ac:dyDescent="0.3">
      <c r="A9" t="s">
        <v>12</v>
      </c>
      <c r="B9" t="s">
        <v>13</v>
      </c>
      <c r="C9" s="1">
        <v>1500</v>
      </c>
    </row>
    <row r="10" spans="1:9" x14ac:dyDescent="0.3">
      <c r="A10" t="s">
        <v>14</v>
      </c>
      <c r="B10" s="2" t="s">
        <v>15</v>
      </c>
      <c r="C10" s="1">
        <v>7000</v>
      </c>
    </row>
    <row r="11" spans="1:9" x14ac:dyDescent="0.3">
      <c r="A11" t="s">
        <v>16</v>
      </c>
      <c r="B11" s="2" t="s">
        <v>17</v>
      </c>
      <c r="C11" s="1">
        <v>2000</v>
      </c>
    </row>
    <row r="12" spans="1:9" x14ac:dyDescent="0.3">
      <c r="B12" s="3" t="s">
        <v>18</v>
      </c>
      <c r="C12" s="21">
        <f>SUM(C5:C11)</f>
        <v>27000</v>
      </c>
    </row>
    <row r="15" spans="1:9" ht="15.6" x14ac:dyDescent="0.3">
      <c r="B15" s="6" t="s">
        <v>19</v>
      </c>
    </row>
    <row r="16" spans="1:9" ht="15.6" x14ac:dyDescent="0.3">
      <c r="B16" s="7" t="s">
        <v>20</v>
      </c>
    </row>
    <row r="17" spans="2:2" ht="15.6" x14ac:dyDescent="0.3">
      <c r="B17" s="7" t="s">
        <v>21</v>
      </c>
    </row>
    <row r="18" spans="2:2" ht="15.6" x14ac:dyDescent="0.3">
      <c r="B18" s="7" t="s">
        <v>22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454BD-DF9A-4B85-B9AE-30D795F51A7F}">
  <dimension ref="A1:P20"/>
  <sheetViews>
    <sheetView zoomScaleNormal="100" workbookViewId="0">
      <selection activeCell="A10" sqref="A10"/>
    </sheetView>
  </sheetViews>
  <sheetFormatPr defaultRowHeight="14.4" x14ac:dyDescent="0.3"/>
  <cols>
    <col min="1" max="1" width="34.77734375" bestFit="1" customWidth="1"/>
    <col min="2" max="4" width="10.44140625" bestFit="1" customWidth="1"/>
    <col min="5" max="9" width="11.44140625" bestFit="1" customWidth="1"/>
    <col min="10" max="10" width="10.44140625" bestFit="1" customWidth="1"/>
    <col min="11" max="12" width="11.6640625" bestFit="1" customWidth="1"/>
    <col min="13" max="13" width="11.109375" customWidth="1"/>
    <col min="14" max="14" width="11.44140625" customWidth="1"/>
    <col min="15" max="15" width="35.44140625" bestFit="1" customWidth="1"/>
    <col min="16" max="16" width="10.109375" bestFit="1" customWidth="1"/>
  </cols>
  <sheetData>
    <row r="1" spans="1:16" ht="21" x14ac:dyDescent="0.3">
      <c r="A1" s="18" t="s">
        <v>23</v>
      </c>
      <c r="B1" s="19" t="s">
        <v>86</v>
      </c>
      <c r="C1" s="19" t="s">
        <v>87</v>
      </c>
      <c r="D1" s="19" t="s">
        <v>88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</row>
    <row r="2" spans="1:16" x14ac:dyDescent="0.3">
      <c r="A2" s="4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4" t="s">
        <v>56</v>
      </c>
      <c r="L2" s="4" t="s">
        <v>57</v>
      </c>
      <c r="M2" s="4" t="s">
        <v>58</v>
      </c>
      <c r="N2">
        <f>SUM(Table2[[#This Row],[Column1]:[Column12]])</f>
        <v>0</v>
      </c>
    </row>
    <row r="3" spans="1:16" x14ac:dyDescent="0.3">
      <c r="A3" t="s">
        <v>59</v>
      </c>
      <c r="N3">
        <f>SUM(Table2[[#This Row],[Column1]:[Column12]])</f>
        <v>0</v>
      </c>
    </row>
    <row r="4" spans="1:16" x14ac:dyDescent="0.3">
      <c r="A4" t="s">
        <v>60</v>
      </c>
      <c r="B4">
        <v>2</v>
      </c>
      <c r="C4">
        <v>2</v>
      </c>
      <c r="D4">
        <v>3</v>
      </c>
      <c r="E4">
        <v>6</v>
      </c>
      <c r="F4">
        <v>7</v>
      </c>
      <c r="G4">
        <v>8</v>
      </c>
      <c r="H4">
        <v>8</v>
      </c>
      <c r="I4">
        <v>5</v>
      </c>
      <c r="J4">
        <v>4</v>
      </c>
      <c r="K4">
        <v>6</v>
      </c>
      <c r="L4">
        <v>5</v>
      </c>
      <c r="M4">
        <v>4</v>
      </c>
      <c r="N4">
        <f>SUM(Table2[[#This Row],[Column1]:[Column12]])</f>
        <v>60</v>
      </c>
    </row>
    <row r="5" spans="1:16" x14ac:dyDescent="0.3">
      <c r="A5" t="s">
        <v>61</v>
      </c>
      <c r="B5">
        <v>0</v>
      </c>
      <c r="C5">
        <v>1</v>
      </c>
      <c r="D5">
        <v>2</v>
      </c>
      <c r="E5">
        <v>3</v>
      </c>
      <c r="F5">
        <v>5</v>
      </c>
      <c r="G5">
        <v>2</v>
      </c>
      <c r="H5">
        <v>4</v>
      </c>
      <c r="I5">
        <v>3</v>
      </c>
      <c r="J5">
        <v>0</v>
      </c>
      <c r="K5">
        <v>1</v>
      </c>
      <c r="L5">
        <v>2</v>
      </c>
      <c r="M5">
        <v>2</v>
      </c>
      <c r="N5">
        <f>SUM(Table2[[#This Row],[Column1]:[Column12]])</f>
        <v>25</v>
      </c>
    </row>
    <row r="6" spans="1:16" x14ac:dyDescent="0.3">
      <c r="A6" s="9" t="s">
        <v>63</v>
      </c>
      <c r="B6" s="11">
        <f t="shared" ref="B6:M6" si="0">B4*$P$15+B5*$P$16</f>
        <v>3600</v>
      </c>
      <c r="C6" s="11">
        <f t="shared" si="0"/>
        <v>4600</v>
      </c>
      <c r="D6" s="11">
        <f t="shared" si="0"/>
        <v>7400</v>
      </c>
      <c r="E6" s="11">
        <f t="shared" si="0"/>
        <v>13800</v>
      </c>
      <c r="F6" s="11">
        <f t="shared" si="0"/>
        <v>17600</v>
      </c>
      <c r="G6" s="11">
        <f t="shared" si="0"/>
        <v>16400</v>
      </c>
      <c r="H6" s="11">
        <f t="shared" si="0"/>
        <v>18400</v>
      </c>
      <c r="I6" s="11">
        <f t="shared" si="0"/>
        <v>12000</v>
      </c>
      <c r="J6" s="11">
        <f t="shared" si="0"/>
        <v>7200</v>
      </c>
      <c r="K6" s="11">
        <f t="shared" si="0"/>
        <v>11800</v>
      </c>
      <c r="L6" s="11">
        <f t="shared" si="0"/>
        <v>11000</v>
      </c>
      <c r="M6" s="11">
        <f t="shared" si="0"/>
        <v>9200</v>
      </c>
      <c r="N6">
        <f>SUM(Table2[[#This Row],[Column1]:[Column12]])</f>
        <v>133000</v>
      </c>
    </row>
    <row r="7" spans="1:16" ht="15.6" x14ac:dyDescent="0.3">
      <c r="A7" s="10"/>
      <c r="B7" s="12"/>
    </row>
    <row r="8" spans="1:16" x14ac:dyDescent="0.3">
      <c r="A8" s="4" t="s">
        <v>27</v>
      </c>
    </row>
    <row r="9" spans="1:16" x14ac:dyDescent="0.3">
      <c r="A9" t="s">
        <v>62</v>
      </c>
      <c r="B9" s="1">
        <f t="shared" ref="B9:M9" si="1">B6*$P$17</f>
        <v>1080</v>
      </c>
      <c r="C9" s="1">
        <f t="shared" si="1"/>
        <v>1380</v>
      </c>
      <c r="D9" s="1">
        <f t="shared" si="1"/>
        <v>2220</v>
      </c>
      <c r="E9" s="1">
        <f t="shared" si="1"/>
        <v>4140</v>
      </c>
      <c r="F9" s="1">
        <f t="shared" si="1"/>
        <v>5280</v>
      </c>
      <c r="G9" s="1">
        <f t="shared" si="1"/>
        <v>4920</v>
      </c>
      <c r="H9" s="1">
        <f t="shared" si="1"/>
        <v>5520</v>
      </c>
      <c r="I9" s="1">
        <f t="shared" si="1"/>
        <v>3600</v>
      </c>
      <c r="J9" s="1">
        <f t="shared" si="1"/>
        <v>2160</v>
      </c>
      <c r="K9" s="1">
        <f t="shared" si="1"/>
        <v>3540</v>
      </c>
      <c r="L9" s="1">
        <f t="shared" si="1"/>
        <v>3300</v>
      </c>
      <c r="M9" s="1">
        <f t="shared" si="1"/>
        <v>2760</v>
      </c>
      <c r="N9">
        <f>SUM(Table2[[#This Row],[Column1]:[Column12]])</f>
        <v>39900</v>
      </c>
    </row>
    <row r="10" spans="1:16" x14ac:dyDescent="0.3">
      <c r="A10" t="s">
        <v>29</v>
      </c>
      <c r="B10" s="11">
        <v>1833</v>
      </c>
      <c r="C10" s="11">
        <v>1833</v>
      </c>
      <c r="D10" s="11">
        <v>1833</v>
      </c>
      <c r="E10" s="11">
        <v>1833</v>
      </c>
      <c r="F10" s="11">
        <v>1833</v>
      </c>
      <c r="G10" s="11">
        <v>1833</v>
      </c>
      <c r="H10" s="11">
        <v>1833</v>
      </c>
      <c r="I10" s="11">
        <v>1833</v>
      </c>
      <c r="J10" s="11">
        <v>1833</v>
      </c>
      <c r="K10" s="11">
        <v>1833</v>
      </c>
      <c r="L10" s="11">
        <v>1833</v>
      </c>
      <c r="M10" s="11">
        <v>1833</v>
      </c>
      <c r="N10">
        <f>SUM(Table2[[#This Row],[Column1]:[Column12]])</f>
        <v>21996</v>
      </c>
    </row>
    <row r="11" spans="1:16" x14ac:dyDescent="0.3">
      <c r="A11" t="s">
        <v>30</v>
      </c>
      <c r="B11" s="1">
        <v>333.33</v>
      </c>
      <c r="C11" s="1">
        <v>333.33</v>
      </c>
      <c r="D11" s="1">
        <v>333.33</v>
      </c>
      <c r="E11" s="1">
        <v>333.33</v>
      </c>
      <c r="F11" s="1">
        <v>333.33</v>
      </c>
      <c r="G11" s="1">
        <v>333.33</v>
      </c>
      <c r="H11" s="1">
        <v>333.33</v>
      </c>
      <c r="I11" s="1">
        <v>333.33</v>
      </c>
      <c r="J11" s="1">
        <v>333.33</v>
      </c>
      <c r="K11" s="1">
        <v>333.33</v>
      </c>
      <c r="L11" s="1">
        <v>333.33</v>
      </c>
      <c r="M11" s="1">
        <v>333.33</v>
      </c>
      <c r="N11">
        <f>SUM(Table2[[#This Row],[Column1]:[Column12]])</f>
        <v>3999.9599999999996</v>
      </c>
      <c r="P11" s="1"/>
    </row>
    <row r="12" spans="1:16" x14ac:dyDescent="0.3">
      <c r="A12" s="2" t="s">
        <v>31</v>
      </c>
      <c r="B12" s="1">
        <v>250</v>
      </c>
      <c r="C12" s="1">
        <v>250</v>
      </c>
      <c r="D12" s="1">
        <v>250</v>
      </c>
      <c r="E12" s="1">
        <v>250</v>
      </c>
      <c r="F12" s="1">
        <v>250</v>
      </c>
      <c r="G12" s="1">
        <v>250</v>
      </c>
      <c r="H12" s="1">
        <v>250</v>
      </c>
      <c r="I12" s="1">
        <v>250</v>
      </c>
      <c r="J12" s="1">
        <v>250</v>
      </c>
      <c r="K12" s="1">
        <v>250</v>
      </c>
      <c r="L12" s="1">
        <v>250</v>
      </c>
      <c r="M12" s="1">
        <v>250</v>
      </c>
      <c r="N12">
        <f>SUM(Table2[[#This Row],[Column1]:[Column12]])</f>
        <v>3000</v>
      </c>
      <c r="P12" s="1"/>
    </row>
    <row r="13" spans="1:16" x14ac:dyDescent="0.3">
      <c r="A13" s="2" t="s">
        <v>32</v>
      </c>
      <c r="B13" s="1">
        <v>208</v>
      </c>
      <c r="C13" s="1">
        <v>208</v>
      </c>
      <c r="D13" s="1">
        <v>208</v>
      </c>
      <c r="E13" s="1">
        <v>208</v>
      </c>
      <c r="F13" s="1">
        <v>208</v>
      </c>
      <c r="G13" s="1">
        <v>208</v>
      </c>
      <c r="H13" s="1">
        <v>208</v>
      </c>
      <c r="I13" s="1">
        <v>208</v>
      </c>
      <c r="J13" s="1">
        <v>208</v>
      </c>
      <c r="K13" s="1">
        <v>208</v>
      </c>
      <c r="L13" s="1">
        <v>208</v>
      </c>
      <c r="M13" s="1">
        <v>208</v>
      </c>
      <c r="N13">
        <f>SUM(Table2[[#This Row],[Column1]:[Column12]])</f>
        <v>2496</v>
      </c>
    </row>
    <row r="14" spans="1:16" x14ac:dyDescent="0.3">
      <c r="A14" t="s">
        <v>33</v>
      </c>
      <c r="B14" s="1">
        <v>208</v>
      </c>
      <c r="C14" s="1">
        <v>208</v>
      </c>
      <c r="D14" s="1">
        <v>208</v>
      </c>
      <c r="E14" s="1">
        <v>208</v>
      </c>
      <c r="F14" s="1">
        <v>208</v>
      </c>
      <c r="G14" s="1">
        <v>208</v>
      </c>
      <c r="H14" s="1">
        <v>208</v>
      </c>
      <c r="I14" s="1">
        <v>208</v>
      </c>
      <c r="J14" s="1">
        <v>208</v>
      </c>
      <c r="K14" s="1">
        <v>208</v>
      </c>
      <c r="L14" s="1">
        <v>208</v>
      </c>
      <c r="M14" s="1">
        <v>208</v>
      </c>
      <c r="N14">
        <f>SUM(Table2[[#This Row],[Column1]:[Column12]])</f>
        <v>2496</v>
      </c>
      <c r="O14" t="s">
        <v>86</v>
      </c>
      <c r="P14" t="s">
        <v>87</v>
      </c>
    </row>
    <row r="15" spans="1:16" x14ac:dyDescent="0.3">
      <c r="A15" s="2" t="s">
        <v>34</v>
      </c>
      <c r="B15" s="1">
        <v>500</v>
      </c>
      <c r="C15" s="1">
        <v>500</v>
      </c>
      <c r="D15" s="1">
        <v>500</v>
      </c>
      <c r="E15" s="1">
        <v>500</v>
      </c>
      <c r="F15" s="1">
        <v>500</v>
      </c>
      <c r="G15" s="1">
        <v>500</v>
      </c>
      <c r="H15" s="1">
        <v>500</v>
      </c>
      <c r="I15" s="1">
        <v>500</v>
      </c>
      <c r="J15" s="1">
        <v>500</v>
      </c>
      <c r="K15" s="1">
        <v>500</v>
      </c>
      <c r="L15" s="1">
        <v>500</v>
      </c>
      <c r="M15" s="1">
        <v>500</v>
      </c>
      <c r="N15">
        <f>SUM(Table2[[#This Row],[Column1]:[Column12]])</f>
        <v>6000</v>
      </c>
      <c r="O15" t="s">
        <v>116</v>
      </c>
      <c r="P15">
        <v>1800</v>
      </c>
    </row>
    <row r="16" spans="1:16" x14ac:dyDescent="0.3">
      <c r="A16" s="3" t="s">
        <v>35</v>
      </c>
      <c r="B16" s="1">
        <f>B9+B10+B11+B12+B13+B15+B14</f>
        <v>4412.33</v>
      </c>
      <c r="C16" s="1">
        <f t="shared" ref="C16:N16" si="2">C9+C10+C11+C12+C13+C15+C14</f>
        <v>4712.33</v>
      </c>
      <c r="D16" s="1">
        <f t="shared" si="2"/>
        <v>5552.33</v>
      </c>
      <c r="E16" s="1">
        <f t="shared" si="2"/>
        <v>7472.33</v>
      </c>
      <c r="F16" s="1">
        <f t="shared" si="2"/>
        <v>8612.33</v>
      </c>
      <c r="G16" s="1">
        <f t="shared" si="2"/>
        <v>8252.33</v>
      </c>
      <c r="H16" s="1">
        <f t="shared" si="2"/>
        <v>8852.33</v>
      </c>
      <c r="I16" s="1">
        <f t="shared" si="2"/>
        <v>6932.33</v>
      </c>
      <c r="J16" s="1">
        <f t="shared" si="2"/>
        <v>5492.33</v>
      </c>
      <c r="K16" s="1">
        <f t="shared" si="2"/>
        <v>6872.33</v>
      </c>
      <c r="L16" s="1">
        <f t="shared" si="2"/>
        <v>6632.33</v>
      </c>
      <c r="M16" s="1">
        <f t="shared" si="2"/>
        <v>6092.33</v>
      </c>
      <c r="N16" s="1">
        <f t="shared" si="2"/>
        <v>79887.960000000006</v>
      </c>
      <c r="O16" t="s">
        <v>26</v>
      </c>
      <c r="P16">
        <v>1000</v>
      </c>
    </row>
    <row r="17" spans="1:16" x14ac:dyDescent="0.3">
      <c r="N17">
        <f>SUM(Table2[[#This Row],[Column1]:[Column12]])</f>
        <v>0</v>
      </c>
      <c r="O17" t="s">
        <v>62</v>
      </c>
      <c r="P17">
        <v>0.3</v>
      </c>
    </row>
    <row r="18" spans="1:16" x14ac:dyDescent="0.3">
      <c r="A18" s="4" t="s">
        <v>36</v>
      </c>
      <c r="B18" s="11">
        <f>B6-B16</f>
        <v>-812.32999999999993</v>
      </c>
      <c r="C18" s="11">
        <f t="shared" ref="C18:N18" si="3">C6-C16</f>
        <v>-112.32999999999993</v>
      </c>
      <c r="D18" s="11">
        <f t="shared" si="3"/>
        <v>1847.67</v>
      </c>
      <c r="E18" s="11">
        <f t="shared" si="3"/>
        <v>6327.67</v>
      </c>
      <c r="F18" s="11">
        <f t="shared" si="3"/>
        <v>8987.67</v>
      </c>
      <c r="G18" s="11">
        <f t="shared" si="3"/>
        <v>8147.67</v>
      </c>
      <c r="H18" s="11">
        <f t="shared" si="3"/>
        <v>9547.67</v>
      </c>
      <c r="I18" s="11">
        <f t="shared" si="3"/>
        <v>5067.67</v>
      </c>
      <c r="J18" s="11">
        <f t="shared" si="3"/>
        <v>1707.67</v>
      </c>
      <c r="K18" s="11">
        <f t="shared" si="3"/>
        <v>4927.67</v>
      </c>
      <c r="L18" s="11">
        <f t="shared" si="3"/>
        <v>4367.67</v>
      </c>
      <c r="M18" s="11">
        <f t="shared" si="3"/>
        <v>3107.67</v>
      </c>
      <c r="N18" s="11">
        <f t="shared" si="3"/>
        <v>53112.039999999994</v>
      </c>
    </row>
    <row r="19" spans="1:16" x14ac:dyDescent="0.3">
      <c r="A19" s="4" t="s">
        <v>64</v>
      </c>
      <c r="B19" s="11">
        <f>B18*12%</f>
        <v>-97.479599999999991</v>
      </c>
      <c r="C19" s="11">
        <f t="shared" ref="C19:N19" si="4">C18*12%</f>
        <v>-13.479599999999991</v>
      </c>
      <c r="D19" s="11">
        <f t="shared" si="4"/>
        <v>221.72040000000001</v>
      </c>
      <c r="E19" s="11">
        <f t="shared" si="4"/>
        <v>759.32039999999995</v>
      </c>
      <c r="F19" s="11">
        <f t="shared" si="4"/>
        <v>1078.5203999999999</v>
      </c>
      <c r="G19" s="11">
        <f t="shared" si="4"/>
        <v>977.72039999999993</v>
      </c>
      <c r="H19" s="11">
        <f t="shared" si="4"/>
        <v>1145.7203999999999</v>
      </c>
      <c r="I19" s="11">
        <f t="shared" si="4"/>
        <v>608.12040000000002</v>
      </c>
      <c r="J19" s="11">
        <f t="shared" si="4"/>
        <v>204.9204</v>
      </c>
      <c r="K19" s="11">
        <f t="shared" si="4"/>
        <v>591.32039999999995</v>
      </c>
      <c r="L19" s="11">
        <f t="shared" si="4"/>
        <v>524.12040000000002</v>
      </c>
      <c r="M19" s="11">
        <f t="shared" si="4"/>
        <v>372.92039999999997</v>
      </c>
      <c r="N19" s="11">
        <f t="shared" si="4"/>
        <v>6373.4447999999993</v>
      </c>
      <c r="P19" s="13"/>
    </row>
    <row r="20" spans="1:16" x14ac:dyDescent="0.3">
      <c r="A20" s="4" t="s">
        <v>37</v>
      </c>
      <c r="B20" s="11">
        <f>B18-B19</f>
        <v>-714.85039999999992</v>
      </c>
      <c r="C20" s="11">
        <f t="shared" ref="C20:N20" si="5">C18-C19</f>
        <v>-98.850399999999937</v>
      </c>
      <c r="D20" s="11">
        <f t="shared" si="5"/>
        <v>1625.9496000000001</v>
      </c>
      <c r="E20" s="11">
        <f t="shared" si="5"/>
        <v>5568.3496000000005</v>
      </c>
      <c r="F20" s="11">
        <f t="shared" si="5"/>
        <v>7909.1496000000006</v>
      </c>
      <c r="G20" s="11">
        <f t="shared" si="5"/>
        <v>7169.9495999999999</v>
      </c>
      <c r="H20" s="11">
        <f t="shared" si="5"/>
        <v>8401.9495999999999</v>
      </c>
      <c r="I20" s="11">
        <f t="shared" si="5"/>
        <v>4459.5496000000003</v>
      </c>
      <c r="J20" s="11">
        <f t="shared" si="5"/>
        <v>1502.7496000000001</v>
      </c>
      <c r="K20" s="11">
        <f t="shared" si="5"/>
        <v>4336.3496000000005</v>
      </c>
      <c r="L20" s="11">
        <f t="shared" si="5"/>
        <v>3843.5496000000003</v>
      </c>
      <c r="M20" s="11">
        <f t="shared" si="5"/>
        <v>2734.7496000000001</v>
      </c>
      <c r="N20" s="11">
        <f t="shared" si="5"/>
        <v>46738.595199999996</v>
      </c>
    </row>
  </sheetData>
  <phoneticPr fontId="10" type="noConversion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5C1D-07A6-49C4-A137-80E1B9362607}">
  <dimension ref="A1:R19"/>
  <sheetViews>
    <sheetView zoomScaleNormal="110" workbookViewId="0">
      <selection activeCell="A9" sqref="A9"/>
    </sheetView>
  </sheetViews>
  <sheetFormatPr defaultRowHeight="14.4" x14ac:dyDescent="0.3"/>
  <cols>
    <col min="1" max="1" width="30.6640625" bestFit="1" customWidth="1"/>
    <col min="2" max="7" width="15.21875" customWidth="1"/>
    <col min="8" max="10" width="10.109375" bestFit="1" customWidth="1"/>
    <col min="11" max="12" width="11.109375" customWidth="1"/>
    <col min="13" max="14" width="11.6640625" bestFit="1" customWidth="1"/>
    <col min="16" max="16" width="31.33203125" bestFit="1" customWidth="1"/>
    <col min="17" max="18" width="10.109375" customWidth="1"/>
  </cols>
  <sheetData>
    <row r="1" spans="1:18" ht="23.4" x14ac:dyDescent="0.45">
      <c r="A1" s="20" t="s">
        <v>38</v>
      </c>
      <c r="B1" s="20" t="s">
        <v>86</v>
      </c>
      <c r="C1" s="20" t="s">
        <v>87</v>
      </c>
      <c r="D1" s="20" t="s">
        <v>88</v>
      </c>
      <c r="E1" s="20" t="s">
        <v>89</v>
      </c>
      <c r="F1" s="20" t="s">
        <v>90</v>
      </c>
      <c r="G1" s="20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</row>
    <row r="2" spans="1:18" x14ac:dyDescent="0.3">
      <c r="A2" s="4" t="s">
        <v>25</v>
      </c>
      <c r="B2" s="4" t="s">
        <v>67</v>
      </c>
      <c r="C2" s="4" t="s">
        <v>68</v>
      </c>
      <c r="D2" s="4" t="s">
        <v>69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4" t="s">
        <v>56</v>
      </c>
      <c r="L2" s="4" t="s">
        <v>57</v>
      </c>
      <c r="M2" s="4" t="s">
        <v>58</v>
      </c>
      <c r="N2">
        <f>SUM(Table4[[#This Row],[Column1]:[Column12]])</f>
        <v>0</v>
      </c>
    </row>
    <row r="3" spans="1:18" x14ac:dyDescent="0.3">
      <c r="A3" t="s">
        <v>65</v>
      </c>
      <c r="B3">
        <v>5</v>
      </c>
      <c r="C3">
        <v>4</v>
      </c>
      <c r="D3">
        <v>8</v>
      </c>
      <c r="E3">
        <v>10</v>
      </c>
      <c r="F3">
        <v>10</v>
      </c>
      <c r="G3">
        <v>8</v>
      </c>
      <c r="H3">
        <v>11</v>
      </c>
      <c r="I3">
        <v>15</v>
      </c>
      <c r="J3">
        <v>10</v>
      </c>
      <c r="K3">
        <v>7</v>
      </c>
      <c r="L3">
        <v>5</v>
      </c>
      <c r="M3">
        <v>7</v>
      </c>
      <c r="N3">
        <f>SUM(Table4[[#This Row],[Column1]:[Column12]])</f>
        <v>100</v>
      </c>
    </row>
    <row r="4" spans="1:18" x14ac:dyDescent="0.3">
      <c r="A4" t="s">
        <v>66</v>
      </c>
      <c r="B4">
        <v>2</v>
      </c>
      <c r="C4">
        <v>4</v>
      </c>
      <c r="D4">
        <v>3</v>
      </c>
      <c r="E4">
        <v>3</v>
      </c>
      <c r="F4">
        <v>3</v>
      </c>
      <c r="G4">
        <v>2</v>
      </c>
      <c r="H4">
        <v>6</v>
      </c>
      <c r="I4">
        <v>4</v>
      </c>
      <c r="J4">
        <v>5</v>
      </c>
      <c r="K4">
        <v>4</v>
      </c>
      <c r="L4">
        <v>2</v>
      </c>
      <c r="M4">
        <v>2</v>
      </c>
      <c r="N4">
        <f>SUM(Table4[[#This Row],[Column1]:[Column12]])</f>
        <v>40</v>
      </c>
    </row>
    <row r="5" spans="1:18" x14ac:dyDescent="0.3">
      <c r="B5" s="14">
        <f t="shared" ref="B5:M5" si="0">B3*$R13+B4*$R14</f>
        <v>12270</v>
      </c>
      <c r="C5" s="14">
        <f t="shared" si="0"/>
        <v>12840</v>
      </c>
      <c r="D5" s="15">
        <f t="shared" si="0"/>
        <v>19380</v>
      </c>
      <c r="E5" s="14">
        <f t="shared" si="0"/>
        <v>23280</v>
      </c>
      <c r="F5" s="14">
        <f t="shared" si="0"/>
        <v>23280</v>
      </c>
      <c r="G5" s="14">
        <f t="shared" si="0"/>
        <v>18120</v>
      </c>
      <c r="H5" s="14">
        <f t="shared" si="0"/>
        <v>29010</v>
      </c>
      <c r="I5" s="14">
        <f t="shared" si="0"/>
        <v>34290</v>
      </c>
      <c r="J5" s="14">
        <f t="shared" si="0"/>
        <v>25800</v>
      </c>
      <c r="K5" s="14">
        <f t="shared" si="0"/>
        <v>18690</v>
      </c>
      <c r="L5" s="14">
        <f t="shared" si="0"/>
        <v>12270</v>
      </c>
      <c r="M5" s="14">
        <f t="shared" si="0"/>
        <v>16170</v>
      </c>
      <c r="N5">
        <f>SUM(Table4[[#This Row],[Column1]:[Column12]])</f>
        <v>245400</v>
      </c>
    </row>
    <row r="6" spans="1:18" x14ac:dyDescent="0.3">
      <c r="A6" s="9"/>
      <c r="B6" s="1"/>
      <c r="N6">
        <f>SUM(Table4[[#This Row],[Column1]:[Column12]])</f>
        <v>0</v>
      </c>
    </row>
    <row r="7" spans="1:18" x14ac:dyDescent="0.3">
      <c r="A7" s="4" t="s">
        <v>40</v>
      </c>
      <c r="B7" s="4" t="s">
        <v>28</v>
      </c>
      <c r="N7">
        <f>SUM(Table4[[#This Row],[Column1]:[Column12]])</f>
        <v>0</v>
      </c>
    </row>
    <row r="8" spans="1:18" x14ac:dyDescent="0.3">
      <c r="A8" s="2" t="s">
        <v>62</v>
      </c>
      <c r="B8" s="1">
        <f t="shared" ref="B8:M8" si="1">B5*$R15</f>
        <v>3067.5</v>
      </c>
      <c r="C8" s="1">
        <f t="shared" si="1"/>
        <v>3210</v>
      </c>
      <c r="D8" s="1">
        <f t="shared" si="1"/>
        <v>4845</v>
      </c>
      <c r="E8" s="1">
        <f t="shared" si="1"/>
        <v>5820</v>
      </c>
      <c r="F8" s="1">
        <f t="shared" si="1"/>
        <v>5820</v>
      </c>
      <c r="G8" s="1">
        <f t="shared" si="1"/>
        <v>4530</v>
      </c>
      <c r="H8" s="1">
        <f t="shared" si="1"/>
        <v>7252.5</v>
      </c>
      <c r="I8" s="1">
        <f t="shared" si="1"/>
        <v>8572.5</v>
      </c>
      <c r="J8" s="1">
        <f t="shared" si="1"/>
        <v>6450</v>
      </c>
      <c r="K8" s="1">
        <f t="shared" si="1"/>
        <v>4672.5</v>
      </c>
      <c r="L8" s="1">
        <f t="shared" si="1"/>
        <v>3067.5</v>
      </c>
      <c r="M8" s="1">
        <f t="shared" si="1"/>
        <v>4042.5</v>
      </c>
      <c r="N8">
        <f>SUM(Table4[[#This Row],[Column1]:[Column12]])</f>
        <v>61350</v>
      </c>
    </row>
    <row r="9" spans="1:18" x14ac:dyDescent="0.3">
      <c r="A9" t="s">
        <v>41</v>
      </c>
      <c r="B9" s="1">
        <v>2500</v>
      </c>
      <c r="C9" s="1">
        <v>2500</v>
      </c>
      <c r="D9" s="1">
        <v>2500</v>
      </c>
      <c r="E9" s="1">
        <v>2500</v>
      </c>
      <c r="F9" s="1">
        <v>2500</v>
      </c>
      <c r="G9" s="1">
        <v>2500</v>
      </c>
      <c r="H9" s="1">
        <v>2500</v>
      </c>
      <c r="I9" s="1">
        <v>2500</v>
      </c>
      <c r="J9" s="1">
        <v>2500</v>
      </c>
      <c r="K9" s="1">
        <v>2500</v>
      </c>
      <c r="L9" s="1">
        <v>2500</v>
      </c>
      <c r="M9" s="1">
        <v>2500</v>
      </c>
      <c r="N9">
        <f>SUM(Table4[[#This Row],[Column1]:[Column12]])</f>
        <v>30000</v>
      </c>
    </row>
    <row r="10" spans="1:18" x14ac:dyDescent="0.3">
      <c r="A10" s="2" t="s">
        <v>42</v>
      </c>
      <c r="B10" s="1">
        <v>416</v>
      </c>
      <c r="C10" s="1">
        <v>416</v>
      </c>
      <c r="D10" s="1">
        <v>416</v>
      </c>
      <c r="E10" s="1">
        <v>416</v>
      </c>
      <c r="F10" s="1">
        <v>416</v>
      </c>
      <c r="G10" s="1">
        <v>416</v>
      </c>
      <c r="H10" s="1">
        <v>416</v>
      </c>
      <c r="I10" s="1">
        <v>416</v>
      </c>
      <c r="J10" s="1">
        <v>416</v>
      </c>
      <c r="K10" s="1">
        <v>416</v>
      </c>
      <c r="L10" s="1">
        <v>416</v>
      </c>
      <c r="M10" s="1">
        <v>416</v>
      </c>
      <c r="N10">
        <f>SUM(Table4[[#This Row],[Column1]:[Column12]])</f>
        <v>4992</v>
      </c>
    </row>
    <row r="11" spans="1:18" x14ac:dyDescent="0.3">
      <c r="A11" t="s">
        <v>14</v>
      </c>
      <c r="B11" s="1">
        <v>333</v>
      </c>
      <c r="C11" s="1">
        <v>333</v>
      </c>
      <c r="D11" s="1">
        <v>333</v>
      </c>
      <c r="E11" s="1">
        <v>333</v>
      </c>
      <c r="F11" s="1">
        <v>333</v>
      </c>
      <c r="G11" s="1">
        <v>333</v>
      </c>
      <c r="H11" s="1">
        <v>333</v>
      </c>
      <c r="I11" s="1">
        <v>333</v>
      </c>
      <c r="J11" s="1">
        <v>333</v>
      </c>
      <c r="K11" s="1">
        <v>333</v>
      </c>
      <c r="L11" s="1">
        <v>333</v>
      </c>
      <c r="M11" s="1">
        <v>333</v>
      </c>
      <c r="N11">
        <f>SUM(Table4[[#This Row],[Column1]:[Column12]])</f>
        <v>3996</v>
      </c>
    </row>
    <row r="12" spans="1:18" x14ac:dyDescent="0.3">
      <c r="A12" t="s">
        <v>32</v>
      </c>
      <c r="B12" s="1">
        <v>250</v>
      </c>
      <c r="C12" s="1">
        <v>250</v>
      </c>
      <c r="D12" s="1">
        <v>250</v>
      </c>
      <c r="E12" s="1">
        <v>250</v>
      </c>
      <c r="F12" s="1">
        <v>250</v>
      </c>
      <c r="G12" s="1">
        <v>250</v>
      </c>
      <c r="H12" s="1">
        <v>250</v>
      </c>
      <c r="I12" s="1">
        <v>250</v>
      </c>
      <c r="J12" s="1">
        <v>250</v>
      </c>
      <c r="K12" s="1">
        <v>250</v>
      </c>
      <c r="L12" s="1">
        <v>250</v>
      </c>
      <c r="M12" s="1">
        <v>250</v>
      </c>
      <c r="N12">
        <f>SUM(Table4[[#This Row],[Column1]:[Column12]])</f>
        <v>3000</v>
      </c>
      <c r="P12" t="s">
        <v>86</v>
      </c>
      <c r="Q12" s="1" t="s">
        <v>87</v>
      </c>
      <c r="R12" t="s">
        <v>88</v>
      </c>
    </row>
    <row r="13" spans="1:18" x14ac:dyDescent="0.3">
      <c r="A13" t="s">
        <v>33</v>
      </c>
      <c r="B13" s="1">
        <v>250</v>
      </c>
      <c r="C13" s="1">
        <v>250</v>
      </c>
      <c r="D13" s="1">
        <v>250</v>
      </c>
      <c r="E13" s="1">
        <v>250</v>
      </c>
      <c r="F13" s="1">
        <v>250</v>
      </c>
      <c r="G13" s="1">
        <v>250</v>
      </c>
      <c r="H13" s="1">
        <v>250</v>
      </c>
      <c r="I13" s="1">
        <v>250</v>
      </c>
      <c r="J13" s="1">
        <v>250</v>
      </c>
      <c r="K13" s="1">
        <v>250</v>
      </c>
      <c r="L13" s="1">
        <v>250</v>
      </c>
      <c r="M13" s="1">
        <v>250</v>
      </c>
      <c r="N13">
        <f>SUM(Table4[[#This Row],[Column1]:[Column12]])</f>
        <v>3000</v>
      </c>
      <c r="P13" t="s">
        <v>39</v>
      </c>
      <c r="Q13" s="1"/>
      <c r="R13">
        <v>1950</v>
      </c>
    </row>
    <row r="14" spans="1:18" x14ac:dyDescent="0.3">
      <c r="A14" s="2" t="s">
        <v>34</v>
      </c>
      <c r="B14" s="1">
        <v>416</v>
      </c>
      <c r="C14" s="1">
        <v>416</v>
      </c>
      <c r="D14" s="1">
        <v>416</v>
      </c>
      <c r="E14" s="1">
        <v>416</v>
      </c>
      <c r="F14" s="1">
        <v>416</v>
      </c>
      <c r="G14" s="1">
        <v>416</v>
      </c>
      <c r="H14" s="1">
        <v>416</v>
      </c>
      <c r="I14" s="1">
        <v>416</v>
      </c>
      <c r="J14" s="1">
        <v>416</v>
      </c>
      <c r="K14" s="1">
        <v>416</v>
      </c>
      <c r="L14" s="1">
        <v>416</v>
      </c>
      <c r="M14" s="1">
        <v>416</v>
      </c>
      <c r="N14">
        <f>SUM(Table4[[#This Row],[Column1]:[Column12]])</f>
        <v>4992</v>
      </c>
      <c r="P14" t="s">
        <v>70</v>
      </c>
      <c r="Q14" s="1"/>
      <c r="R14">
        <v>1260</v>
      </c>
    </row>
    <row r="15" spans="1:18" x14ac:dyDescent="0.3">
      <c r="A15" s="9"/>
      <c r="B15" s="1">
        <f>SUM(B8:B14)</f>
        <v>7232.5</v>
      </c>
      <c r="C15" s="1">
        <f t="shared" ref="C15:M15" si="2">SUM(C8:C14)</f>
        <v>7375</v>
      </c>
      <c r="D15" s="1">
        <f t="shared" si="2"/>
        <v>9010</v>
      </c>
      <c r="E15" s="1">
        <f t="shared" si="2"/>
        <v>9985</v>
      </c>
      <c r="F15" s="1">
        <f t="shared" si="2"/>
        <v>9985</v>
      </c>
      <c r="G15" s="1">
        <f t="shared" si="2"/>
        <v>8695</v>
      </c>
      <c r="H15" s="1">
        <f t="shared" si="2"/>
        <v>11417.5</v>
      </c>
      <c r="I15" s="1">
        <f t="shared" si="2"/>
        <v>12737.5</v>
      </c>
      <c r="J15" s="1">
        <f t="shared" si="2"/>
        <v>10615</v>
      </c>
      <c r="K15" s="1">
        <f t="shared" si="2"/>
        <v>8837.5</v>
      </c>
      <c r="L15" s="1">
        <f t="shared" si="2"/>
        <v>7232.5</v>
      </c>
      <c r="M15" s="1">
        <f t="shared" si="2"/>
        <v>8207.5</v>
      </c>
      <c r="N15" s="1">
        <f>SUM(N8:N14)</f>
        <v>111330</v>
      </c>
      <c r="P15" t="s">
        <v>62</v>
      </c>
      <c r="R15">
        <v>0.25</v>
      </c>
    </row>
    <row r="16" spans="1:18" x14ac:dyDescent="0.3">
      <c r="A16" s="2"/>
      <c r="N16">
        <f>SUM(Table4[[#This Row],[Column1]:[Column12]])</f>
        <v>0</v>
      </c>
    </row>
    <row r="17" spans="1:14" x14ac:dyDescent="0.3">
      <c r="A17" s="4" t="s">
        <v>36</v>
      </c>
      <c r="B17" s="1">
        <f>B5-B15</f>
        <v>5037.5</v>
      </c>
      <c r="C17" s="1">
        <f t="shared" ref="C17:N17" si="3">C5-C15</f>
        <v>5465</v>
      </c>
      <c r="D17" s="1">
        <f t="shared" si="3"/>
        <v>10370</v>
      </c>
      <c r="E17" s="1">
        <f t="shared" si="3"/>
        <v>13295</v>
      </c>
      <c r="F17" s="1">
        <f t="shared" si="3"/>
        <v>13295</v>
      </c>
      <c r="G17" s="1">
        <f t="shared" si="3"/>
        <v>9425</v>
      </c>
      <c r="H17" s="1">
        <f t="shared" si="3"/>
        <v>17592.5</v>
      </c>
      <c r="I17" s="1">
        <f t="shared" si="3"/>
        <v>21552.5</v>
      </c>
      <c r="J17" s="1">
        <f t="shared" si="3"/>
        <v>15185</v>
      </c>
      <c r="K17" s="1">
        <f t="shared" si="3"/>
        <v>9852.5</v>
      </c>
      <c r="L17" s="1">
        <f t="shared" si="3"/>
        <v>5037.5</v>
      </c>
      <c r="M17" s="1">
        <f t="shared" si="3"/>
        <v>7962.5</v>
      </c>
      <c r="N17" s="1">
        <f t="shared" si="3"/>
        <v>134070</v>
      </c>
    </row>
    <row r="18" spans="1:14" x14ac:dyDescent="0.3">
      <c r="A18" s="4" t="s">
        <v>71</v>
      </c>
      <c r="B18" s="13">
        <f>B17*12%</f>
        <v>604.5</v>
      </c>
      <c r="C18" s="13">
        <f t="shared" ref="C18:N18" si="4">C17*12%</f>
        <v>655.8</v>
      </c>
      <c r="D18" s="13">
        <f t="shared" si="4"/>
        <v>1244.3999999999999</v>
      </c>
      <c r="E18" s="13">
        <f t="shared" si="4"/>
        <v>1595.3999999999999</v>
      </c>
      <c r="F18" s="13">
        <f t="shared" si="4"/>
        <v>1595.3999999999999</v>
      </c>
      <c r="G18" s="13">
        <f t="shared" si="4"/>
        <v>1131</v>
      </c>
      <c r="H18" s="13">
        <f t="shared" si="4"/>
        <v>2111.1</v>
      </c>
      <c r="I18" s="13">
        <f t="shared" si="4"/>
        <v>2586.2999999999997</v>
      </c>
      <c r="J18" s="13">
        <f t="shared" si="4"/>
        <v>1822.2</v>
      </c>
      <c r="K18" s="13">
        <f t="shared" si="4"/>
        <v>1182.3</v>
      </c>
      <c r="L18" s="13">
        <f t="shared" si="4"/>
        <v>604.5</v>
      </c>
      <c r="M18" s="13">
        <f t="shared" si="4"/>
        <v>955.5</v>
      </c>
      <c r="N18" s="13">
        <f t="shared" si="4"/>
        <v>16088.4</v>
      </c>
    </row>
    <row r="19" spans="1:14" x14ac:dyDescent="0.3">
      <c r="A19" s="4" t="s">
        <v>37</v>
      </c>
      <c r="B19" s="13">
        <f>B17-B18</f>
        <v>4433</v>
      </c>
      <c r="C19" s="13">
        <f t="shared" ref="C19:N19" si="5">C17-C18</f>
        <v>4809.2</v>
      </c>
      <c r="D19" s="13">
        <f t="shared" si="5"/>
        <v>9125.6</v>
      </c>
      <c r="E19" s="13">
        <f t="shared" si="5"/>
        <v>11699.6</v>
      </c>
      <c r="F19" s="13">
        <f t="shared" si="5"/>
        <v>11699.6</v>
      </c>
      <c r="G19" s="13">
        <f t="shared" si="5"/>
        <v>8294</v>
      </c>
      <c r="H19" s="13">
        <f t="shared" si="5"/>
        <v>15481.4</v>
      </c>
      <c r="I19" s="13">
        <f t="shared" si="5"/>
        <v>18966.2</v>
      </c>
      <c r="J19" s="13">
        <f t="shared" si="5"/>
        <v>13362.8</v>
      </c>
      <c r="K19" s="13">
        <f t="shared" si="5"/>
        <v>8670.2000000000007</v>
      </c>
      <c r="L19" s="13">
        <f t="shared" si="5"/>
        <v>4433</v>
      </c>
      <c r="M19" s="13">
        <f t="shared" si="5"/>
        <v>7007</v>
      </c>
      <c r="N19" s="13">
        <f t="shared" si="5"/>
        <v>117981.6</v>
      </c>
    </row>
  </sheetData>
  <phoneticPr fontId="10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7FDB-CBBB-44FE-B97B-116FB0DF941C}">
  <dimension ref="A1:Q19"/>
  <sheetViews>
    <sheetView zoomScaleNormal="100" workbookViewId="0">
      <selection activeCell="A9" sqref="A9"/>
    </sheetView>
  </sheetViews>
  <sheetFormatPr defaultRowHeight="14.4" x14ac:dyDescent="0.3"/>
  <cols>
    <col min="1" max="1" width="32" bestFit="1" customWidth="1"/>
    <col min="2" max="7" width="14.77734375" customWidth="1"/>
    <col min="8" max="9" width="9.77734375" customWidth="1"/>
    <col min="10" max="10" width="10.6640625" bestFit="1" customWidth="1"/>
    <col min="11" max="13" width="10.77734375" customWidth="1"/>
    <col min="14" max="14" width="11.6640625" bestFit="1" customWidth="1"/>
    <col min="16" max="16" width="34.21875" customWidth="1"/>
  </cols>
  <sheetData>
    <row r="1" spans="1:17" ht="23.4" x14ac:dyDescent="0.45">
      <c r="A1" s="20" t="s">
        <v>43</v>
      </c>
      <c r="B1" s="20" t="s">
        <v>86</v>
      </c>
      <c r="C1" s="20" t="s">
        <v>87</v>
      </c>
      <c r="D1" s="20" t="s">
        <v>88</v>
      </c>
      <c r="E1" s="20" t="s">
        <v>89</v>
      </c>
      <c r="F1" s="20" t="s">
        <v>90</v>
      </c>
      <c r="G1" s="20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</row>
    <row r="2" spans="1:17" x14ac:dyDescent="0.3">
      <c r="A2" s="4" t="s">
        <v>25</v>
      </c>
      <c r="B2" s="4" t="s">
        <v>72</v>
      </c>
      <c r="C2" s="4" t="s">
        <v>73</v>
      </c>
      <c r="D2" s="4" t="s">
        <v>74</v>
      </c>
      <c r="E2" s="4" t="s">
        <v>75</v>
      </c>
      <c r="F2" s="4" t="s">
        <v>76</v>
      </c>
      <c r="G2" s="4" t="s">
        <v>77</v>
      </c>
      <c r="H2" s="4" t="s">
        <v>78</v>
      </c>
      <c r="I2" s="4" t="s">
        <v>79</v>
      </c>
      <c r="J2" s="4" t="s">
        <v>80</v>
      </c>
      <c r="K2" s="4" t="s">
        <v>81</v>
      </c>
      <c r="L2" s="4" t="s">
        <v>82</v>
      </c>
      <c r="M2" s="4" t="s">
        <v>83</v>
      </c>
      <c r="P2" t="s">
        <v>44</v>
      </c>
      <c r="Q2" s="1" t="s">
        <v>115</v>
      </c>
    </row>
    <row r="3" spans="1:17" x14ac:dyDescent="0.3">
      <c r="A3" t="s">
        <v>65</v>
      </c>
      <c r="B3">
        <v>5</v>
      </c>
      <c r="C3">
        <v>7</v>
      </c>
      <c r="D3">
        <v>10</v>
      </c>
      <c r="E3">
        <v>13</v>
      </c>
      <c r="F3">
        <v>12</v>
      </c>
      <c r="G3">
        <v>15</v>
      </c>
      <c r="H3">
        <v>10</v>
      </c>
      <c r="I3">
        <v>14</v>
      </c>
      <c r="J3">
        <v>10</v>
      </c>
      <c r="K3">
        <v>8</v>
      </c>
      <c r="L3">
        <v>10</v>
      </c>
      <c r="M3">
        <v>6</v>
      </c>
      <c r="N3">
        <f>SUM(Table6[[#This Row],[Column1]:[Column12]])</f>
        <v>120</v>
      </c>
      <c r="P3" t="s">
        <v>84</v>
      </c>
      <c r="Q3" s="1">
        <v>1500</v>
      </c>
    </row>
    <row r="4" spans="1:17" x14ac:dyDescent="0.3">
      <c r="A4" t="s">
        <v>61</v>
      </c>
      <c r="B4">
        <v>3</v>
      </c>
      <c r="C4">
        <v>2</v>
      </c>
      <c r="D4">
        <v>5</v>
      </c>
      <c r="E4">
        <v>10</v>
      </c>
      <c r="F4">
        <v>6</v>
      </c>
      <c r="G4">
        <v>8</v>
      </c>
      <c r="H4">
        <v>7</v>
      </c>
      <c r="I4">
        <v>10</v>
      </c>
      <c r="J4">
        <v>8</v>
      </c>
      <c r="K4">
        <v>4</v>
      </c>
      <c r="L4">
        <v>5</v>
      </c>
      <c r="M4">
        <v>2</v>
      </c>
      <c r="N4">
        <f>SUM(Table6[[#This Row],[Column1]:[Column12]])</f>
        <v>70</v>
      </c>
      <c r="P4" t="s">
        <v>62</v>
      </c>
      <c r="Q4">
        <v>0.2</v>
      </c>
    </row>
    <row r="5" spans="1:17" x14ac:dyDescent="0.3">
      <c r="B5" s="1">
        <f>B3*$Q2+B4*$Q3</f>
        <v>17000</v>
      </c>
      <c r="C5" s="1">
        <f t="shared" ref="C5:M5" si="0">C3*$Q2+C4*$Q3</f>
        <v>20500</v>
      </c>
      <c r="D5" s="1">
        <f t="shared" si="0"/>
        <v>32500</v>
      </c>
      <c r="E5" s="1">
        <f t="shared" si="0"/>
        <v>47500</v>
      </c>
      <c r="F5" s="1">
        <f t="shared" si="0"/>
        <v>39000</v>
      </c>
      <c r="G5" s="1">
        <f t="shared" si="0"/>
        <v>49500</v>
      </c>
      <c r="H5" s="1">
        <f t="shared" si="0"/>
        <v>35500</v>
      </c>
      <c r="I5" s="1">
        <f t="shared" si="0"/>
        <v>50000</v>
      </c>
      <c r="J5" s="1">
        <f t="shared" si="0"/>
        <v>37000</v>
      </c>
      <c r="K5" s="1">
        <f t="shared" si="0"/>
        <v>26000</v>
      </c>
      <c r="L5" s="1">
        <f t="shared" si="0"/>
        <v>32500</v>
      </c>
      <c r="M5" s="1">
        <f t="shared" si="0"/>
        <v>18000</v>
      </c>
      <c r="N5">
        <f>SUM(Table6[[#This Row],[Column1]:[Column12]])</f>
        <v>405000</v>
      </c>
    </row>
    <row r="6" spans="1:17" x14ac:dyDescent="0.3">
      <c r="A6" s="9"/>
      <c r="B6" s="1"/>
    </row>
    <row r="7" spans="1:17" x14ac:dyDescent="0.3">
      <c r="A7" s="4" t="s">
        <v>40</v>
      </c>
      <c r="B7" s="4" t="s">
        <v>28</v>
      </c>
    </row>
    <row r="8" spans="1:17" x14ac:dyDescent="0.3">
      <c r="A8" s="2" t="s">
        <v>62</v>
      </c>
      <c r="B8" s="1">
        <f>B5*$Q4</f>
        <v>3400</v>
      </c>
      <c r="C8" s="1">
        <f t="shared" ref="C8:M8" si="1">C5*$Q4</f>
        <v>4100</v>
      </c>
      <c r="D8" s="1">
        <f t="shared" si="1"/>
        <v>6500</v>
      </c>
      <c r="E8" s="1">
        <f t="shared" si="1"/>
        <v>9500</v>
      </c>
      <c r="F8" s="1">
        <f t="shared" si="1"/>
        <v>7800</v>
      </c>
      <c r="G8" s="1">
        <f t="shared" si="1"/>
        <v>9900</v>
      </c>
      <c r="H8" s="1">
        <f t="shared" si="1"/>
        <v>7100</v>
      </c>
      <c r="I8" s="1">
        <f t="shared" si="1"/>
        <v>10000</v>
      </c>
      <c r="J8" s="1">
        <f t="shared" si="1"/>
        <v>7400</v>
      </c>
      <c r="K8" s="1">
        <f t="shared" si="1"/>
        <v>5200</v>
      </c>
      <c r="L8" s="1">
        <f t="shared" si="1"/>
        <v>6500</v>
      </c>
      <c r="M8" s="1">
        <f t="shared" si="1"/>
        <v>3600</v>
      </c>
      <c r="N8">
        <f>SUM(Table6[[#This Row],[Column1]:[Column12]])</f>
        <v>81000</v>
      </c>
    </row>
    <row r="9" spans="1:17" x14ac:dyDescent="0.3">
      <c r="A9" t="s">
        <v>41</v>
      </c>
      <c r="B9" s="1">
        <v>3333</v>
      </c>
      <c r="C9" s="1">
        <v>3333</v>
      </c>
      <c r="D9" s="1">
        <v>3333</v>
      </c>
      <c r="E9" s="1">
        <v>3333</v>
      </c>
      <c r="F9" s="1">
        <v>3333</v>
      </c>
      <c r="G9" s="1">
        <v>3333</v>
      </c>
      <c r="H9" s="1">
        <v>3333</v>
      </c>
      <c r="I9" s="1">
        <v>3333</v>
      </c>
      <c r="J9" s="1">
        <v>3333</v>
      </c>
      <c r="K9" s="1">
        <v>3333</v>
      </c>
      <c r="L9" s="1">
        <v>3333</v>
      </c>
      <c r="M9" s="1">
        <v>3333</v>
      </c>
      <c r="N9">
        <f>SUM(Table6[[#This Row],[Column1]:[Column12]])</f>
        <v>39996</v>
      </c>
    </row>
    <row r="10" spans="1:17" x14ac:dyDescent="0.3">
      <c r="A10" t="s">
        <v>42</v>
      </c>
      <c r="B10" s="1">
        <v>500</v>
      </c>
      <c r="C10" s="1">
        <v>500</v>
      </c>
      <c r="D10" s="1">
        <v>500</v>
      </c>
      <c r="E10" s="1">
        <v>500</v>
      </c>
      <c r="F10" s="1">
        <v>500</v>
      </c>
      <c r="G10" s="1">
        <v>500</v>
      </c>
      <c r="H10" s="1">
        <v>500</v>
      </c>
      <c r="I10" s="1">
        <v>500</v>
      </c>
      <c r="J10" s="1">
        <v>500</v>
      </c>
      <c r="K10" s="1">
        <v>500</v>
      </c>
      <c r="L10" s="1">
        <v>500</v>
      </c>
      <c r="M10" s="1">
        <v>500</v>
      </c>
      <c r="N10">
        <f>SUM(Table6[[#This Row],[Column1]:[Column12]])</f>
        <v>6000</v>
      </c>
    </row>
    <row r="11" spans="1:17" x14ac:dyDescent="0.3">
      <c r="A11" t="s">
        <v>14</v>
      </c>
      <c r="B11" s="1">
        <v>333</v>
      </c>
      <c r="C11" s="1">
        <v>333</v>
      </c>
      <c r="D11" s="1">
        <v>333</v>
      </c>
      <c r="E11" s="1">
        <v>333</v>
      </c>
      <c r="F11" s="1">
        <v>333</v>
      </c>
      <c r="G11" s="1">
        <v>333</v>
      </c>
      <c r="H11" s="1">
        <v>333</v>
      </c>
      <c r="I11" s="1">
        <v>333</v>
      </c>
      <c r="J11" s="1">
        <v>333</v>
      </c>
      <c r="K11" s="1">
        <v>333</v>
      </c>
      <c r="L11" s="1">
        <v>333</v>
      </c>
      <c r="M11" s="1">
        <v>333</v>
      </c>
      <c r="N11">
        <f>SUM(Table6[[#This Row],[Column1]:[Column12]])</f>
        <v>3996</v>
      </c>
    </row>
    <row r="12" spans="1:17" x14ac:dyDescent="0.3">
      <c r="A12" t="s">
        <v>32</v>
      </c>
      <c r="B12" s="1">
        <v>291.60000000000002</v>
      </c>
      <c r="C12" s="1">
        <v>291.60000000000002</v>
      </c>
      <c r="D12" s="1">
        <v>291.60000000000002</v>
      </c>
      <c r="E12" s="1">
        <v>291.60000000000002</v>
      </c>
      <c r="F12" s="1">
        <v>291.60000000000002</v>
      </c>
      <c r="G12" s="1">
        <v>291.60000000000002</v>
      </c>
      <c r="H12" s="1">
        <v>291.60000000000002</v>
      </c>
      <c r="I12" s="1">
        <v>291.60000000000002</v>
      </c>
      <c r="J12" s="1">
        <v>291.60000000000002</v>
      </c>
      <c r="K12" s="1">
        <v>291.60000000000002</v>
      </c>
      <c r="L12" s="1">
        <v>291.60000000000002</v>
      </c>
      <c r="M12" s="1">
        <v>291.60000000000002</v>
      </c>
      <c r="N12">
        <f>SUM(Table6[[#This Row],[Column1]:[Column12]])</f>
        <v>3499.1999999999994</v>
      </c>
    </row>
    <row r="13" spans="1:17" x14ac:dyDescent="0.3">
      <c r="A13" t="s">
        <v>33</v>
      </c>
      <c r="B13" s="1">
        <v>291.60000000000002</v>
      </c>
      <c r="C13" s="1">
        <v>291.60000000000002</v>
      </c>
      <c r="D13" s="1">
        <v>291.60000000000002</v>
      </c>
      <c r="E13" s="1">
        <v>291.60000000000002</v>
      </c>
      <c r="F13" s="1">
        <v>291.60000000000002</v>
      </c>
      <c r="G13" s="1">
        <v>291.60000000000002</v>
      </c>
      <c r="H13" s="1">
        <v>291.60000000000002</v>
      </c>
      <c r="I13" s="1">
        <v>291.60000000000002</v>
      </c>
      <c r="J13" s="1">
        <v>291.60000000000002</v>
      </c>
      <c r="K13" s="1">
        <v>291.60000000000002</v>
      </c>
      <c r="L13" s="1">
        <v>291.60000000000002</v>
      </c>
      <c r="M13" s="1">
        <v>291.60000000000002</v>
      </c>
      <c r="N13">
        <f t="shared" ref="N2:N19" si="2">SUM(B14:M14)</f>
        <v>4999.2000000000007</v>
      </c>
    </row>
    <row r="14" spans="1:17" x14ac:dyDescent="0.3">
      <c r="A14" s="2" t="s">
        <v>34</v>
      </c>
      <c r="B14" s="1">
        <v>416.6</v>
      </c>
      <c r="C14" s="1">
        <v>416.6</v>
      </c>
      <c r="D14" s="1">
        <v>416.6</v>
      </c>
      <c r="E14" s="1">
        <v>416.6</v>
      </c>
      <c r="F14" s="1">
        <v>416.6</v>
      </c>
      <c r="G14" s="1">
        <v>416.6</v>
      </c>
      <c r="H14" s="1">
        <v>416.6</v>
      </c>
      <c r="I14" s="1">
        <v>416.6</v>
      </c>
      <c r="J14" s="1">
        <v>416.6</v>
      </c>
      <c r="K14" s="1">
        <v>416.6</v>
      </c>
      <c r="L14" s="1">
        <v>416.6</v>
      </c>
      <c r="M14" s="1">
        <v>416.6</v>
      </c>
      <c r="N14">
        <f>SUM(Table6[[#This Row],[Column1]:[Column12]])</f>
        <v>4999.2000000000007</v>
      </c>
    </row>
    <row r="15" spans="1:17" x14ac:dyDescent="0.3">
      <c r="A15" s="3" t="s">
        <v>45</v>
      </c>
      <c r="B15" s="1">
        <f>SUM(B8:B14)</f>
        <v>8565.8000000000011</v>
      </c>
      <c r="C15" s="1">
        <f t="shared" ref="C15:N15" si="3">SUM(C8:C14)</f>
        <v>9265.8000000000011</v>
      </c>
      <c r="D15" s="1">
        <f t="shared" si="3"/>
        <v>11665.800000000001</v>
      </c>
      <c r="E15" s="1">
        <f t="shared" si="3"/>
        <v>14665.800000000001</v>
      </c>
      <c r="F15" s="1">
        <f t="shared" si="3"/>
        <v>12965.800000000001</v>
      </c>
      <c r="G15" s="1">
        <f t="shared" si="3"/>
        <v>15065.800000000001</v>
      </c>
      <c r="H15" s="1">
        <f t="shared" si="3"/>
        <v>12265.800000000001</v>
      </c>
      <c r="I15" s="1">
        <f t="shared" si="3"/>
        <v>15165.800000000001</v>
      </c>
      <c r="J15" s="1">
        <f t="shared" si="3"/>
        <v>12565.800000000001</v>
      </c>
      <c r="K15" s="1">
        <f t="shared" si="3"/>
        <v>10365.800000000001</v>
      </c>
      <c r="L15" s="1">
        <f t="shared" si="3"/>
        <v>11665.800000000001</v>
      </c>
      <c r="M15" s="1">
        <f t="shared" si="3"/>
        <v>8765.8000000000011</v>
      </c>
      <c r="N15" s="1">
        <f t="shared" si="3"/>
        <v>144489.60000000003</v>
      </c>
    </row>
    <row r="17" spans="1:14" x14ac:dyDescent="0.3">
      <c r="A17" s="4" t="s">
        <v>36</v>
      </c>
      <c r="B17" s="1">
        <f>B5-B15</f>
        <v>8434.1999999999989</v>
      </c>
      <c r="C17" s="1">
        <f t="shared" ref="C17:N17" si="4">C5-C15</f>
        <v>11234.199999999999</v>
      </c>
      <c r="D17" s="1">
        <f t="shared" si="4"/>
        <v>20834.199999999997</v>
      </c>
      <c r="E17" s="1">
        <f t="shared" si="4"/>
        <v>32834.199999999997</v>
      </c>
      <c r="F17" s="1">
        <f t="shared" si="4"/>
        <v>26034.199999999997</v>
      </c>
      <c r="G17" s="1">
        <f t="shared" si="4"/>
        <v>34434.199999999997</v>
      </c>
      <c r="H17" s="1">
        <f t="shared" si="4"/>
        <v>23234.199999999997</v>
      </c>
      <c r="I17" s="1">
        <f t="shared" si="4"/>
        <v>34834.199999999997</v>
      </c>
      <c r="J17" s="1">
        <f t="shared" si="4"/>
        <v>24434.199999999997</v>
      </c>
      <c r="K17" s="1">
        <f t="shared" si="4"/>
        <v>15634.199999999999</v>
      </c>
      <c r="L17" s="1">
        <f t="shared" si="4"/>
        <v>20834.199999999997</v>
      </c>
      <c r="M17" s="1">
        <f t="shared" si="4"/>
        <v>9234.1999999999989</v>
      </c>
      <c r="N17" s="1">
        <f t="shared" si="4"/>
        <v>260510.39999999997</v>
      </c>
    </row>
    <row r="18" spans="1:14" x14ac:dyDescent="0.3">
      <c r="A18" s="4" t="s">
        <v>85</v>
      </c>
      <c r="B18" s="1">
        <f>B17*12%</f>
        <v>1012.1039999999998</v>
      </c>
      <c r="C18" s="1">
        <f t="shared" ref="C18:N18" si="5">C17*12%</f>
        <v>1348.1039999999998</v>
      </c>
      <c r="D18" s="1">
        <f t="shared" si="5"/>
        <v>2500.1039999999994</v>
      </c>
      <c r="E18" s="1">
        <f t="shared" si="5"/>
        <v>3940.1039999999994</v>
      </c>
      <c r="F18" s="1">
        <f t="shared" si="5"/>
        <v>3124.1039999999994</v>
      </c>
      <c r="G18" s="1">
        <f t="shared" si="5"/>
        <v>4132.1039999999994</v>
      </c>
      <c r="H18" s="1">
        <f t="shared" si="5"/>
        <v>2788.1039999999994</v>
      </c>
      <c r="I18" s="1">
        <f t="shared" si="5"/>
        <v>4180.1039999999994</v>
      </c>
      <c r="J18" s="1">
        <f t="shared" si="5"/>
        <v>2932.1039999999994</v>
      </c>
      <c r="K18" s="1">
        <f t="shared" si="5"/>
        <v>1876.1039999999998</v>
      </c>
      <c r="L18" s="1">
        <f t="shared" si="5"/>
        <v>2500.1039999999994</v>
      </c>
      <c r="M18" s="1">
        <f t="shared" si="5"/>
        <v>1108.1039999999998</v>
      </c>
      <c r="N18" s="1">
        <f t="shared" si="5"/>
        <v>31261.247999999996</v>
      </c>
    </row>
    <row r="19" spans="1:14" x14ac:dyDescent="0.3">
      <c r="A19" s="4" t="s">
        <v>37</v>
      </c>
      <c r="B19" s="1">
        <f>B17-B18</f>
        <v>7422.0959999999995</v>
      </c>
      <c r="C19" s="1">
        <f t="shared" ref="C19:N19" si="6">C17-C18</f>
        <v>9886.0959999999995</v>
      </c>
      <c r="D19" s="1">
        <f t="shared" si="6"/>
        <v>18334.095999999998</v>
      </c>
      <c r="E19" s="1">
        <f t="shared" si="6"/>
        <v>28894.095999999998</v>
      </c>
      <c r="F19" s="1">
        <f t="shared" si="6"/>
        <v>22910.095999999998</v>
      </c>
      <c r="G19" s="1">
        <f t="shared" si="6"/>
        <v>30302.095999999998</v>
      </c>
      <c r="H19" s="1">
        <f t="shared" si="6"/>
        <v>20446.095999999998</v>
      </c>
      <c r="I19" s="1">
        <f t="shared" si="6"/>
        <v>30654.095999999998</v>
      </c>
      <c r="J19" s="1">
        <f t="shared" si="6"/>
        <v>21502.095999999998</v>
      </c>
      <c r="K19" s="1">
        <f t="shared" si="6"/>
        <v>13758.096</v>
      </c>
      <c r="L19" s="1">
        <f t="shared" si="6"/>
        <v>18334.095999999998</v>
      </c>
      <c r="M19" s="1">
        <f t="shared" si="6"/>
        <v>8126.0959999999995</v>
      </c>
      <c r="N19" s="1">
        <f t="shared" si="6"/>
        <v>229249.15199999997</v>
      </c>
    </row>
  </sheetData>
  <phoneticPr fontId="10" type="noConversion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3385-EE7E-4C82-9D46-2BECDCF9EA12}">
  <dimension ref="A1:N22"/>
  <sheetViews>
    <sheetView workbookViewId="0">
      <selection activeCell="D25" sqref="D25"/>
    </sheetView>
  </sheetViews>
  <sheetFormatPr defaultRowHeight="14.4" x14ac:dyDescent="0.3"/>
  <cols>
    <col min="1" max="1" width="30.33203125" bestFit="1" customWidth="1"/>
    <col min="2" max="2" width="11.44140625" bestFit="1" customWidth="1"/>
    <col min="3" max="3" width="11.6640625" customWidth="1"/>
    <col min="4" max="4" width="13.5546875" customWidth="1"/>
    <col min="5" max="5" width="12.21875" customWidth="1"/>
    <col min="6" max="6" width="12.88671875" customWidth="1"/>
    <col min="7" max="7" width="11.44140625" customWidth="1"/>
    <col min="8" max="8" width="11.5546875" customWidth="1"/>
    <col min="9" max="9" width="12" customWidth="1"/>
    <col min="10" max="10" width="10.77734375" customWidth="1"/>
    <col min="11" max="11" width="13.109375" customWidth="1"/>
    <col min="12" max="12" width="11.6640625" bestFit="1" customWidth="1"/>
    <col min="13" max="13" width="12.21875" customWidth="1"/>
    <col min="14" max="14" width="12.44140625" bestFit="1" customWidth="1"/>
  </cols>
  <sheetData>
    <row r="1" spans="1:14" ht="21" x14ac:dyDescent="0.3">
      <c r="A1" s="18" t="s">
        <v>99</v>
      </c>
      <c r="B1" s="19" t="s">
        <v>86</v>
      </c>
      <c r="C1" s="19" t="s">
        <v>87</v>
      </c>
      <c r="D1" s="19" t="s">
        <v>88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</row>
    <row r="2" spans="1:14" x14ac:dyDescent="0.3">
      <c r="A2" s="4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4" t="s">
        <v>56</v>
      </c>
      <c r="L2" s="4" t="s">
        <v>57</v>
      </c>
      <c r="M2" s="4" t="s">
        <v>58</v>
      </c>
      <c r="N2">
        <f>SUM(Table29[[#This Row],[Column1]:[Column12]])</f>
        <v>0</v>
      </c>
    </row>
    <row r="3" spans="1:14" x14ac:dyDescent="0.3">
      <c r="A3" t="s">
        <v>59</v>
      </c>
      <c r="N3">
        <f>SUM(Table29[[#This Row],[Column1]:[Column12]])</f>
        <v>0</v>
      </c>
    </row>
    <row r="4" spans="1:14" x14ac:dyDescent="0.3">
      <c r="A4" t="s">
        <v>60</v>
      </c>
      <c r="B4">
        <v>2</v>
      </c>
      <c r="C4">
        <v>2</v>
      </c>
      <c r="D4">
        <v>3</v>
      </c>
      <c r="E4">
        <v>6</v>
      </c>
      <c r="F4">
        <v>7</v>
      </c>
      <c r="G4">
        <v>8</v>
      </c>
      <c r="H4">
        <v>8</v>
      </c>
      <c r="I4">
        <v>5</v>
      </c>
      <c r="J4">
        <v>4</v>
      </c>
      <c r="K4">
        <v>6</v>
      </c>
      <c r="L4">
        <v>5</v>
      </c>
      <c r="M4">
        <v>4</v>
      </c>
      <c r="N4">
        <f>SUM(Table29[[#This Row],[Column1]:[Column12]])</f>
        <v>60</v>
      </c>
    </row>
    <row r="5" spans="1:14" x14ac:dyDescent="0.3">
      <c r="A5" t="s">
        <v>61</v>
      </c>
      <c r="B5">
        <v>0</v>
      </c>
      <c r="C5">
        <v>1</v>
      </c>
      <c r="D5">
        <v>2</v>
      </c>
      <c r="E5">
        <v>3</v>
      </c>
      <c r="F5">
        <v>5</v>
      </c>
      <c r="G5">
        <v>2</v>
      </c>
      <c r="H5">
        <v>4</v>
      </c>
      <c r="I5">
        <v>3</v>
      </c>
      <c r="J5">
        <v>0</v>
      </c>
      <c r="K5">
        <v>1</v>
      </c>
      <c r="L5">
        <v>2</v>
      </c>
      <c r="M5">
        <v>2</v>
      </c>
      <c r="N5">
        <f>SUM(Table29[[#This Row],[Column1]:[Column12]])</f>
        <v>25</v>
      </c>
    </row>
    <row r="6" spans="1:14" x14ac:dyDescent="0.3">
      <c r="A6" s="9" t="s">
        <v>100</v>
      </c>
      <c r="B6" s="11">
        <f>Table2[[#This Row],[Column1]]</f>
        <v>3600</v>
      </c>
      <c r="C6" s="11">
        <f>Table2[[#This Row],[Column2]]</f>
        <v>4600</v>
      </c>
      <c r="D6" s="11">
        <f>Table2[[#This Row],[Column3]]</f>
        <v>7400</v>
      </c>
      <c r="E6" s="11">
        <f>Table2[[#This Row],[Column4]]</f>
        <v>13800</v>
      </c>
      <c r="F6" s="11">
        <f>Table2[[#This Row],[Column5]]</f>
        <v>17600</v>
      </c>
      <c r="G6" s="11">
        <f>Table2[[#This Row],[Column6]]</f>
        <v>16400</v>
      </c>
      <c r="H6" s="11">
        <f>Table2[[#This Row],[Column7]]</f>
        <v>18400</v>
      </c>
      <c r="I6" s="11">
        <f>Table2[[#This Row],[Column8]]</f>
        <v>12000</v>
      </c>
      <c r="J6" s="11">
        <f>Table2[[#This Row],[Column9]]</f>
        <v>7200</v>
      </c>
      <c r="K6" s="11">
        <f>Table2[[#This Row],[Column10]]</f>
        <v>11800</v>
      </c>
      <c r="L6" s="11">
        <f>Table2[[#This Row],[Column11]]</f>
        <v>11000</v>
      </c>
      <c r="M6" s="11">
        <f>Table2[[#This Row],[Column12]]</f>
        <v>9200</v>
      </c>
      <c r="N6" s="11">
        <f>Table2[[#This Row],[Column13]]</f>
        <v>133000</v>
      </c>
    </row>
    <row r="7" spans="1:14" ht="15.6" x14ac:dyDescent="0.3">
      <c r="A7" s="10" t="s">
        <v>101</v>
      </c>
      <c r="B7" s="11">
        <f>B6-B8</f>
        <v>1800</v>
      </c>
      <c r="C7" s="11">
        <f t="shared" ref="C7:N7" si="0">C6-C8</f>
        <v>2300</v>
      </c>
      <c r="D7" s="11">
        <f t="shared" si="0"/>
        <v>3700</v>
      </c>
      <c r="E7" s="11">
        <f t="shared" si="0"/>
        <v>6900</v>
      </c>
      <c r="F7" s="11">
        <f t="shared" si="0"/>
        <v>8800</v>
      </c>
      <c r="G7" s="11">
        <f t="shared" si="0"/>
        <v>8200</v>
      </c>
      <c r="H7" s="11">
        <f t="shared" si="0"/>
        <v>9200</v>
      </c>
      <c r="I7" s="11">
        <f t="shared" si="0"/>
        <v>6000</v>
      </c>
      <c r="J7" s="11">
        <f t="shared" si="0"/>
        <v>3600</v>
      </c>
      <c r="K7" s="11">
        <f t="shared" si="0"/>
        <v>5900</v>
      </c>
      <c r="L7" s="11">
        <f t="shared" si="0"/>
        <v>5500</v>
      </c>
      <c r="M7" s="11">
        <f t="shared" si="0"/>
        <v>4600</v>
      </c>
      <c r="N7" s="11">
        <f t="shared" si="0"/>
        <v>66500</v>
      </c>
    </row>
    <row r="8" spans="1:14" x14ac:dyDescent="0.3">
      <c r="A8" s="9" t="s">
        <v>102</v>
      </c>
      <c r="B8" s="12">
        <f>B6*0.5</f>
        <v>1800</v>
      </c>
      <c r="C8" s="12">
        <f t="shared" ref="C8:N8" si="1">C6*0.5</f>
        <v>2300</v>
      </c>
      <c r="D8" s="12">
        <f t="shared" si="1"/>
        <v>3700</v>
      </c>
      <c r="E8" s="12">
        <f t="shared" si="1"/>
        <v>6900</v>
      </c>
      <c r="F8" s="12">
        <f t="shared" si="1"/>
        <v>8800</v>
      </c>
      <c r="G8" s="12">
        <f t="shared" si="1"/>
        <v>8200</v>
      </c>
      <c r="H8" s="12">
        <f t="shared" si="1"/>
        <v>9200</v>
      </c>
      <c r="I8" s="12">
        <f t="shared" si="1"/>
        <v>6000</v>
      </c>
      <c r="J8" s="12">
        <f t="shared" si="1"/>
        <v>3600</v>
      </c>
      <c r="K8" s="12">
        <f t="shared" si="1"/>
        <v>5900</v>
      </c>
      <c r="L8" s="12">
        <f t="shared" si="1"/>
        <v>5500</v>
      </c>
      <c r="M8" s="12">
        <f t="shared" si="1"/>
        <v>4600</v>
      </c>
      <c r="N8" s="12">
        <f t="shared" si="1"/>
        <v>66500</v>
      </c>
    </row>
    <row r="9" spans="1:14" x14ac:dyDescent="0.3">
      <c r="A9" s="9" t="s">
        <v>103</v>
      </c>
      <c r="B9" s="11">
        <f>B6</f>
        <v>3600</v>
      </c>
      <c r="C9" s="11">
        <f t="shared" ref="C9:N9" si="2">C6</f>
        <v>4600</v>
      </c>
      <c r="D9" s="11">
        <f t="shared" si="2"/>
        <v>7400</v>
      </c>
      <c r="E9" s="11">
        <f t="shared" si="2"/>
        <v>13800</v>
      </c>
      <c r="F9" s="11">
        <f t="shared" si="2"/>
        <v>17600</v>
      </c>
      <c r="G9" s="11">
        <f t="shared" si="2"/>
        <v>16400</v>
      </c>
      <c r="H9" s="11">
        <f t="shared" si="2"/>
        <v>18400</v>
      </c>
      <c r="I9" s="11">
        <f t="shared" si="2"/>
        <v>12000</v>
      </c>
      <c r="J9" s="11">
        <f t="shared" si="2"/>
        <v>7200</v>
      </c>
      <c r="K9" s="11">
        <f t="shared" si="2"/>
        <v>11800</v>
      </c>
      <c r="L9" s="11">
        <f t="shared" si="2"/>
        <v>11000</v>
      </c>
      <c r="M9" s="11">
        <f t="shared" si="2"/>
        <v>9200</v>
      </c>
      <c r="N9" s="11">
        <f t="shared" si="2"/>
        <v>133000</v>
      </c>
    </row>
    <row r="10" spans="1:14" x14ac:dyDescent="0.3">
      <c r="A10" s="9" t="s">
        <v>27</v>
      </c>
    </row>
    <row r="11" spans="1:14" x14ac:dyDescent="0.3">
      <c r="A11" t="s">
        <v>62</v>
      </c>
      <c r="B11" s="1">
        <f>'Income Year 1'!B9</f>
        <v>1080</v>
      </c>
      <c r="C11" s="1">
        <f>'Income Year 1'!C9</f>
        <v>1380</v>
      </c>
      <c r="D11" s="1">
        <f>'Income Year 1'!D9</f>
        <v>2220</v>
      </c>
      <c r="E11" s="1">
        <f>'Income Year 1'!E9</f>
        <v>4140</v>
      </c>
      <c r="F11" s="1">
        <f>'Income Year 1'!F9</f>
        <v>5280</v>
      </c>
      <c r="G11" s="1">
        <f>'Income Year 1'!G9</f>
        <v>4920</v>
      </c>
      <c r="H11" s="1">
        <f>'Income Year 1'!H9</f>
        <v>5520</v>
      </c>
      <c r="I11" s="1">
        <f>'Income Year 1'!I9</f>
        <v>3600</v>
      </c>
      <c r="J11" s="1">
        <f>'Income Year 1'!J9</f>
        <v>2160</v>
      </c>
      <c r="K11" s="1">
        <f>'Income Year 1'!K9</f>
        <v>3540</v>
      </c>
      <c r="L11" s="1">
        <f>'Income Year 1'!L9</f>
        <v>3300</v>
      </c>
      <c r="M11" s="1">
        <f>'Income Year 1'!M9</f>
        <v>2760</v>
      </c>
      <c r="N11" s="1">
        <f>'Income Year 1'!N9</f>
        <v>39900</v>
      </c>
    </row>
    <row r="12" spans="1:14" x14ac:dyDescent="0.3">
      <c r="A12" s="27" t="s">
        <v>104</v>
      </c>
      <c r="B12" s="1">
        <f>B7*15%</f>
        <v>270</v>
      </c>
      <c r="C12" s="1">
        <f t="shared" ref="C12:N12" si="3">C7*15%</f>
        <v>345</v>
      </c>
      <c r="D12" s="1">
        <f t="shared" si="3"/>
        <v>555</v>
      </c>
      <c r="E12" s="1">
        <f t="shared" si="3"/>
        <v>1035</v>
      </c>
      <c r="F12" s="1">
        <f t="shared" si="3"/>
        <v>1320</v>
      </c>
      <c r="G12" s="1">
        <f t="shared" si="3"/>
        <v>1230</v>
      </c>
      <c r="H12" s="1">
        <f t="shared" si="3"/>
        <v>1380</v>
      </c>
      <c r="I12" s="1">
        <f t="shared" si="3"/>
        <v>900</v>
      </c>
      <c r="J12" s="1">
        <f t="shared" si="3"/>
        <v>540</v>
      </c>
      <c r="K12" s="1">
        <f t="shared" si="3"/>
        <v>885</v>
      </c>
      <c r="L12" s="1">
        <f t="shared" si="3"/>
        <v>825</v>
      </c>
      <c r="M12" s="1">
        <f t="shared" si="3"/>
        <v>690</v>
      </c>
      <c r="N12" s="1">
        <f t="shared" si="3"/>
        <v>9975</v>
      </c>
    </row>
    <row r="13" spans="1:14" x14ac:dyDescent="0.3">
      <c r="A13" t="s">
        <v>29</v>
      </c>
      <c r="B13" s="11">
        <v>1833</v>
      </c>
      <c r="C13" s="11">
        <v>1833</v>
      </c>
      <c r="D13" s="11">
        <v>1833</v>
      </c>
      <c r="E13" s="11">
        <v>1833</v>
      </c>
      <c r="F13" s="11">
        <v>1833</v>
      </c>
      <c r="G13" s="11">
        <v>1833</v>
      </c>
      <c r="H13" s="11">
        <v>1833</v>
      </c>
      <c r="I13" s="11">
        <v>1833</v>
      </c>
      <c r="J13" s="11">
        <v>1833</v>
      </c>
      <c r="K13" s="11">
        <v>1833</v>
      </c>
      <c r="L13" s="11">
        <v>1833</v>
      </c>
      <c r="M13" s="11">
        <v>1833</v>
      </c>
      <c r="N13">
        <f>SUM(Table29[[#This Row],[Column1]:[Column12]])</f>
        <v>21996</v>
      </c>
    </row>
    <row r="14" spans="1:14" x14ac:dyDescent="0.3">
      <c r="A14" t="s">
        <v>30</v>
      </c>
      <c r="B14" s="1">
        <v>333.33</v>
      </c>
      <c r="C14" s="1">
        <v>333.33</v>
      </c>
      <c r="D14" s="1">
        <v>333.33</v>
      </c>
      <c r="E14" s="1">
        <v>333.33</v>
      </c>
      <c r="F14" s="1">
        <v>333.33</v>
      </c>
      <c r="G14" s="1">
        <v>333.33</v>
      </c>
      <c r="H14" s="1">
        <v>333.33</v>
      </c>
      <c r="I14" s="1">
        <v>333.33</v>
      </c>
      <c r="J14" s="1">
        <v>333.33</v>
      </c>
      <c r="K14" s="1">
        <v>333.33</v>
      </c>
      <c r="L14" s="1">
        <v>333.33</v>
      </c>
      <c r="M14" s="1">
        <v>333.33</v>
      </c>
      <c r="N14">
        <f>SUM(Table29[[#This Row],[Column1]:[Column12]])</f>
        <v>3999.9599999999996</v>
      </c>
    </row>
    <row r="15" spans="1:14" ht="28.8" x14ac:dyDescent="0.3">
      <c r="A15" s="2" t="s">
        <v>31</v>
      </c>
      <c r="B15" s="1">
        <v>250</v>
      </c>
      <c r="C15" s="1">
        <v>250</v>
      </c>
      <c r="D15" s="1">
        <v>250</v>
      </c>
      <c r="E15" s="1">
        <v>250</v>
      </c>
      <c r="F15" s="1">
        <v>250</v>
      </c>
      <c r="G15" s="1">
        <v>250</v>
      </c>
      <c r="H15" s="1">
        <v>250</v>
      </c>
      <c r="I15" s="1">
        <v>250</v>
      </c>
      <c r="J15" s="1">
        <v>250</v>
      </c>
      <c r="K15" s="1">
        <v>250</v>
      </c>
      <c r="L15" s="1">
        <v>250</v>
      </c>
      <c r="M15" s="1">
        <v>250</v>
      </c>
      <c r="N15">
        <f>SUM(Table29[[#This Row],[Column1]:[Column12]])</f>
        <v>3000</v>
      </c>
    </row>
    <row r="16" spans="1:14" x14ac:dyDescent="0.3">
      <c r="A16" s="2" t="s">
        <v>32</v>
      </c>
      <c r="B16" s="1">
        <v>208</v>
      </c>
      <c r="C16" s="1">
        <v>208</v>
      </c>
      <c r="D16" s="1">
        <v>208</v>
      </c>
      <c r="E16" s="1">
        <v>208</v>
      </c>
      <c r="F16" s="1">
        <v>208</v>
      </c>
      <c r="G16" s="1">
        <v>208</v>
      </c>
      <c r="H16" s="1">
        <v>208</v>
      </c>
      <c r="I16" s="1">
        <v>208</v>
      </c>
      <c r="J16" s="1">
        <v>208</v>
      </c>
      <c r="K16" s="1">
        <v>208</v>
      </c>
      <c r="L16" s="1">
        <v>208</v>
      </c>
      <c r="M16" s="1">
        <v>208</v>
      </c>
      <c r="N16">
        <f>SUM(Table29[[#This Row],[Column1]:[Column12]])</f>
        <v>2496</v>
      </c>
    </row>
    <row r="17" spans="1:14" x14ac:dyDescent="0.3">
      <c r="A17" t="s">
        <v>33</v>
      </c>
      <c r="B17" s="1">
        <v>208</v>
      </c>
      <c r="C17" s="1">
        <v>208</v>
      </c>
      <c r="D17" s="1">
        <v>208</v>
      </c>
      <c r="E17" s="1">
        <v>208</v>
      </c>
      <c r="F17" s="1">
        <v>208</v>
      </c>
      <c r="G17" s="1">
        <v>208</v>
      </c>
      <c r="H17" s="1">
        <v>208</v>
      </c>
      <c r="I17" s="1">
        <v>208</v>
      </c>
      <c r="J17" s="1">
        <v>208</v>
      </c>
      <c r="K17" s="1">
        <v>208</v>
      </c>
      <c r="L17" s="1">
        <v>208</v>
      </c>
      <c r="M17" s="1">
        <v>208</v>
      </c>
      <c r="N17">
        <f>SUM(Table29[[#This Row],[Column1]:[Column12]])</f>
        <v>2496</v>
      </c>
    </row>
    <row r="18" spans="1:14" x14ac:dyDescent="0.3">
      <c r="A18" s="2" t="s">
        <v>34</v>
      </c>
      <c r="B18" s="1">
        <v>500</v>
      </c>
      <c r="C18" s="1">
        <v>500</v>
      </c>
      <c r="D18" s="1">
        <v>500</v>
      </c>
      <c r="E18" s="1">
        <v>500</v>
      </c>
      <c r="F18" s="1">
        <v>500</v>
      </c>
      <c r="G18" s="1">
        <v>500</v>
      </c>
      <c r="H18" s="1">
        <v>500</v>
      </c>
      <c r="I18" s="1">
        <v>500</v>
      </c>
      <c r="J18" s="1">
        <v>500</v>
      </c>
      <c r="K18" s="1">
        <v>500</v>
      </c>
      <c r="L18" s="1">
        <v>500</v>
      </c>
      <c r="M18" s="1">
        <v>500</v>
      </c>
      <c r="N18">
        <f>SUM(Table29[[#This Row],[Column1]:[Column12]])</f>
        <v>6000</v>
      </c>
    </row>
    <row r="19" spans="1:14" x14ac:dyDescent="0.3">
      <c r="A19" s="3" t="s">
        <v>105</v>
      </c>
      <c r="B19" s="1">
        <f>SUM(B11:B18)</f>
        <v>4682.33</v>
      </c>
      <c r="C19" s="1">
        <f t="shared" ref="C19:N19" si="4">SUM(C11:C18)</f>
        <v>5057.33</v>
      </c>
      <c r="D19" s="1">
        <f t="shared" si="4"/>
        <v>6107.33</v>
      </c>
      <c r="E19" s="1">
        <f t="shared" si="4"/>
        <v>8507.33</v>
      </c>
      <c r="F19" s="1">
        <f t="shared" si="4"/>
        <v>9932.33</v>
      </c>
      <c r="G19" s="1">
        <f t="shared" si="4"/>
        <v>9482.33</v>
      </c>
      <c r="H19" s="1">
        <f t="shared" si="4"/>
        <v>10232.33</v>
      </c>
      <c r="I19" s="1">
        <f t="shared" si="4"/>
        <v>7832.33</v>
      </c>
      <c r="J19" s="1">
        <f t="shared" si="4"/>
        <v>6032.33</v>
      </c>
      <c r="K19" s="1">
        <f t="shared" si="4"/>
        <v>7757.33</v>
      </c>
      <c r="L19" s="1">
        <f t="shared" si="4"/>
        <v>7457.33</v>
      </c>
      <c r="M19" s="1">
        <f t="shared" si="4"/>
        <v>6782.33</v>
      </c>
      <c r="N19" s="1">
        <f t="shared" si="4"/>
        <v>89862.96</v>
      </c>
    </row>
    <row r="20" spans="1:14" x14ac:dyDescent="0.3">
      <c r="A20" t="s">
        <v>106</v>
      </c>
      <c r="B20" s="1">
        <f>B19</f>
        <v>4682.33</v>
      </c>
      <c r="C20" s="1">
        <f t="shared" ref="C20:N20" si="5">C19</f>
        <v>5057.33</v>
      </c>
      <c r="D20" s="1">
        <f t="shared" si="5"/>
        <v>6107.33</v>
      </c>
      <c r="E20" s="1">
        <f t="shared" si="5"/>
        <v>8507.33</v>
      </c>
      <c r="F20" s="1">
        <f t="shared" si="5"/>
        <v>9932.33</v>
      </c>
      <c r="G20" s="1">
        <f t="shared" si="5"/>
        <v>9482.33</v>
      </c>
      <c r="H20" s="1">
        <f t="shared" si="5"/>
        <v>10232.33</v>
      </c>
      <c r="I20" s="1">
        <f t="shared" si="5"/>
        <v>7832.33</v>
      </c>
      <c r="J20" s="1">
        <f t="shared" si="5"/>
        <v>6032.33</v>
      </c>
      <c r="K20" s="1">
        <f t="shared" si="5"/>
        <v>7757.33</v>
      </c>
      <c r="L20" s="1">
        <f t="shared" si="5"/>
        <v>7457.33</v>
      </c>
      <c r="M20" s="1">
        <f t="shared" si="5"/>
        <v>6782.33</v>
      </c>
      <c r="N20" s="1">
        <f t="shared" si="5"/>
        <v>89862.96</v>
      </c>
    </row>
    <row r="21" spans="1:14" x14ac:dyDescent="0.3">
      <c r="A21" s="4" t="s">
        <v>107</v>
      </c>
      <c r="B21" s="11">
        <f>B7</f>
        <v>1800</v>
      </c>
      <c r="C21" s="11">
        <f t="shared" ref="C21:N21" si="6">C7</f>
        <v>2300</v>
      </c>
      <c r="D21" s="11">
        <f t="shared" si="6"/>
        <v>3700</v>
      </c>
      <c r="E21" s="11">
        <f t="shared" si="6"/>
        <v>6900</v>
      </c>
      <c r="F21" s="11">
        <f t="shared" si="6"/>
        <v>8800</v>
      </c>
      <c r="G21" s="11">
        <f t="shared" si="6"/>
        <v>8200</v>
      </c>
      <c r="H21" s="11">
        <f t="shared" si="6"/>
        <v>9200</v>
      </c>
      <c r="I21" s="11">
        <f t="shared" si="6"/>
        <v>6000</v>
      </c>
      <c r="J21" s="11">
        <f t="shared" si="6"/>
        <v>3600</v>
      </c>
      <c r="K21" s="11">
        <f t="shared" si="6"/>
        <v>5900</v>
      </c>
      <c r="L21" s="11">
        <f t="shared" si="6"/>
        <v>5500</v>
      </c>
      <c r="M21" s="11">
        <f t="shared" si="6"/>
        <v>4600</v>
      </c>
      <c r="N21" s="11">
        <f t="shared" si="6"/>
        <v>66500</v>
      </c>
    </row>
    <row r="22" spans="1:14" x14ac:dyDescent="0.3">
      <c r="A22" s="4" t="s">
        <v>108</v>
      </c>
      <c r="B22" s="11">
        <f>B21-B20</f>
        <v>-2882.33</v>
      </c>
      <c r="C22" s="11">
        <f t="shared" ref="C22:N22" si="7">C21-C20</f>
        <v>-2757.33</v>
      </c>
      <c r="D22" s="11">
        <f t="shared" si="7"/>
        <v>-2407.33</v>
      </c>
      <c r="E22" s="11">
        <f t="shared" si="7"/>
        <v>-1607.33</v>
      </c>
      <c r="F22" s="11">
        <f t="shared" si="7"/>
        <v>-1132.33</v>
      </c>
      <c r="G22" s="11">
        <f t="shared" si="7"/>
        <v>-1282.33</v>
      </c>
      <c r="H22" s="11">
        <f t="shared" si="7"/>
        <v>-1032.33</v>
      </c>
      <c r="I22" s="11">
        <f t="shared" si="7"/>
        <v>-1832.33</v>
      </c>
      <c r="J22" s="11">
        <f t="shared" si="7"/>
        <v>-2432.33</v>
      </c>
      <c r="K22" s="11">
        <f t="shared" si="7"/>
        <v>-1857.33</v>
      </c>
      <c r="L22" s="11">
        <f t="shared" si="7"/>
        <v>-1957.33</v>
      </c>
      <c r="M22" s="11">
        <f t="shared" si="7"/>
        <v>-2182.33</v>
      </c>
      <c r="N22" s="11">
        <f t="shared" si="7"/>
        <v>-23362.960000000006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CF71-BC0B-49CF-BFE2-2958D5C4206B}">
  <dimension ref="A1:N22"/>
  <sheetViews>
    <sheetView zoomScale="77" workbookViewId="0">
      <selection activeCell="B21" sqref="B21"/>
    </sheetView>
  </sheetViews>
  <sheetFormatPr defaultRowHeight="14.4" x14ac:dyDescent="0.3"/>
  <cols>
    <col min="1" max="1" width="25" bestFit="1" customWidth="1"/>
    <col min="2" max="7" width="18.44140625" bestFit="1" customWidth="1"/>
    <col min="8" max="10" width="10.6640625" bestFit="1" customWidth="1"/>
    <col min="11" max="14" width="11.6640625" bestFit="1" customWidth="1"/>
  </cols>
  <sheetData>
    <row r="1" spans="1:14" ht="23.4" x14ac:dyDescent="0.45">
      <c r="A1" s="20" t="s">
        <v>38</v>
      </c>
      <c r="B1" s="20" t="s">
        <v>86</v>
      </c>
      <c r="C1" s="20" t="s">
        <v>87</v>
      </c>
      <c r="D1" s="20" t="s">
        <v>88</v>
      </c>
      <c r="E1" s="20" t="s">
        <v>89</v>
      </c>
      <c r="F1" s="20" t="s">
        <v>90</v>
      </c>
      <c r="G1" s="20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</row>
    <row r="2" spans="1:14" x14ac:dyDescent="0.3">
      <c r="A2" s="4" t="s">
        <v>25</v>
      </c>
      <c r="B2" s="4" t="s">
        <v>67</v>
      </c>
      <c r="C2" s="4" t="s">
        <v>68</v>
      </c>
      <c r="D2" s="4" t="s">
        <v>69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4" t="s">
        <v>56</v>
      </c>
      <c r="L2" s="4" t="s">
        <v>57</v>
      </c>
      <c r="M2" s="4" t="s">
        <v>58</v>
      </c>
      <c r="N2">
        <f>SUM(Table410[[#This Row],[Column1]:[Column12]])</f>
        <v>0</v>
      </c>
    </row>
    <row r="3" spans="1:14" x14ac:dyDescent="0.3">
      <c r="A3" t="s">
        <v>65</v>
      </c>
      <c r="B3">
        <v>5</v>
      </c>
      <c r="C3">
        <v>4</v>
      </c>
      <c r="D3">
        <v>8</v>
      </c>
      <c r="E3">
        <v>10</v>
      </c>
      <c r="F3">
        <v>10</v>
      </c>
      <c r="G3">
        <v>8</v>
      </c>
      <c r="H3">
        <v>11</v>
      </c>
      <c r="I3">
        <v>15</v>
      </c>
      <c r="J3">
        <v>10</v>
      </c>
      <c r="K3">
        <v>7</v>
      </c>
      <c r="L3">
        <v>5</v>
      </c>
      <c r="M3">
        <v>7</v>
      </c>
      <c r="N3">
        <f>SUM(Table410[[#This Row],[Column1]:[Column12]])</f>
        <v>100</v>
      </c>
    </row>
    <row r="4" spans="1:14" x14ac:dyDescent="0.3">
      <c r="A4" t="s">
        <v>66</v>
      </c>
      <c r="B4">
        <v>2</v>
      </c>
      <c r="C4">
        <v>4</v>
      </c>
      <c r="D4">
        <v>3</v>
      </c>
      <c r="E4">
        <v>3</v>
      </c>
      <c r="F4">
        <v>3</v>
      </c>
      <c r="G4">
        <v>2</v>
      </c>
      <c r="H4">
        <v>6</v>
      </c>
      <c r="I4">
        <v>4</v>
      </c>
      <c r="J4">
        <v>5</v>
      </c>
      <c r="K4">
        <v>4</v>
      </c>
      <c r="L4">
        <v>2</v>
      </c>
      <c r="M4">
        <v>2</v>
      </c>
      <c r="N4">
        <f>SUM(Table410[[#This Row],[Column1]:[Column12]])</f>
        <v>40</v>
      </c>
    </row>
    <row r="5" spans="1:14" x14ac:dyDescent="0.3">
      <c r="A5" s="9" t="s">
        <v>100</v>
      </c>
      <c r="B5" s="14">
        <f>Table4[[#This Row],[Column1]]</f>
        <v>12270</v>
      </c>
      <c r="C5" s="14">
        <f>Table4[[#This Row],[Column2]]</f>
        <v>12840</v>
      </c>
      <c r="D5" s="14">
        <f>Table4[[#This Row],[Column3]]</f>
        <v>19380</v>
      </c>
      <c r="E5" s="14">
        <f>Table4[[#This Row],[Column4]]</f>
        <v>23280</v>
      </c>
      <c r="F5" s="14">
        <f>Table4[[#This Row],[Column5]]</f>
        <v>23280</v>
      </c>
      <c r="G5" s="14">
        <f>Table4[[#This Row],[Column6]]</f>
        <v>18120</v>
      </c>
      <c r="H5" s="14">
        <f>Table4[[#This Row],[Column7]]</f>
        <v>29010</v>
      </c>
      <c r="I5" s="14">
        <f>Table4[[#This Row],[Column8]]</f>
        <v>34290</v>
      </c>
      <c r="J5" s="14">
        <f>Table4[[#This Row],[Column9]]</f>
        <v>25800</v>
      </c>
      <c r="K5" s="14">
        <f>Table4[[#This Row],[Column10]]</f>
        <v>18690</v>
      </c>
      <c r="L5" s="14">
        <f>Table4[[#This Row],[Column11]]</f>
        <v>12270</v>
      </c>
      <c r="M5" s="14">
        <f>Table4[[#This Row],[Column12]]</f>
        <v>16170</v>
      </c>
      <c r="N5" s="14">
        <f>Table4[[#This Row],[Column13]]</f>
        <v>245400</v>
      </c>
    </row>
    <row r="6" spans="1:14" x14ac:dyDescent="0.3">
      <c r="A6" s="4"/>
      <c r="B6" s="1"/>
      <c r="N6">
        <f>SUM(Table410[[#This Row],[Column1]:[Column12]])</f>
        <v>0</v>
      </c>
    </row>
    <row r="7" spans="1:14" ht="15.6" x14ac:dyDescent="0.3">
      <c r="A7" s="10" t="s">
        <v>101</v>
      </c>
      <c r="B7" s="1">
        <f>B5-B8</f>
        <v>6135</v>
      </c>
      <c r="C7" s="1">
        <f t="shared" ref="C7:N7" si="0">C5-C8</f>
        <v>6420</v>
      </c>
      <c r="D7" s="1">
        <f t="shared" si="0"/>
        <v>9690</v>
      </c>
      <c r="E7" s="1">
        <f t="shared" si="0"/>
        <v>11640</v>
      </c>
      <c r="F7" s="1">
        <f t="shared" si="0"/>
        <v>11640</v>
      </c>
      <c r="G7" s="1">
        <f t="shared" si="0"/>
        <v>9060</v>
      </c>
      <c r="H7" s="1">
        <f t="shared" si="0"/>
        <v>14505</v>
      </c>
      <c r="I7" s="1">
        <f t="shared" si="0"/>
        <v>17145</v>
      </c>
      <c r="J7" s="1">
        <f t="shared" si="0"/>
        <v>12900</v>
      </c>
      <c r="K7" s="1">
        <f t="shared" si="0"/>
        <v>9345</v>
      </c>
      <c r="L7" s="1">
        <f t="shared" si="0"/>
        <v>6135</v>
      </c>
      <c r="M7" s="1">
        <f t="shared" si="0"/>
        <v>8085</v>
      </c>
      <c r="N7" s="1">
        <f t="shared" si="0"/>
        <v>122700</v>
      </c>
    </row>
    <row r="8" spans="1:14" x14ac:dyDescent="0.3">
      <c r="A8" s="9" t="s">
        <v>109</v>
      </c>
      <c r="B8" s="1">
        <f>B5*0.5</f>
        <v>6135</v>
      </c>
      <c r="C8" s="1">
        <f t="shared" ref="C8:N8" si="1">C5*0.5</f>
        <v>6420</v>
      </c>
      <c r="D8" s="1">
        <f t="shared" si="1"/>
        <v>9690</v>
      </c>
      <c r="E8" s="1">
        <f t="shared" si="1"/>
        <v>11640</v>
      </c>
      <c r="F8" s="1">
        <f t="shared" si="1"/>
        <v>11640</v>
      </c>
      <c r="G8" s="1">
        <f t="shared" si="1"/>
        <v>9060</v>
      </c>
      <c r="H8" s="1">
        <f t="shared" si="1"/>
        <v>14505</v>
      </c>
      <c r="I8" s="1">
        <f t="shared" si="1"/>
        <v>17145</v>
      </c>
      <c r="J8" s="1">
        <f t="shared" si="1"/>
        <v>12900</v>
      </c>
      <c r="K8" s="1">
        <f t="shared" si="1"/>
        <v>9345</v>
      </c>
      <c r="L8" s="1">
        <f t="shared" si="1"/>
        <v>6135</v>
      </c>
      <c r="M8" s="1">
        <f t="shared" si="1"/>
        <v>8085</v>
      </c>
      <c r="N8" s="1">
        <f t="shared" si="1"/>
        <v>122700</v>
      </c>
    </row>
    <row r="9" spans="1:14" x14ac:dyDescent="0.3">
      <c r="A9" s="9" t="s">
        <v>103</v>
      </c>
      <c r="B9" s="22">
        <f>B5</f>
        <v>12270</v>
      </c>
      <c r="C9" s="22">
        <f t="shared" ref="C9:N9" si="2">C5</f>
        <v>12840</v>
      </c>
      <c r="D9" s="22">
        <f t="shared" si="2"/>
        <v>19380</v>
      </c>
      <c r="E9" s="22">
        <f t="shared" si="2"/>
        <v>23280</v>
      </c>
      <c r="F9" s="22">
        <f t="shared" si="2"/>
        <v>23280</v>
      </c>
      <c r="G9" s="22">
        <f t="shared" si="2"/>
        <v>18120</v>
      </c>
      <c r="H9" s="22">
        <f t="shared" si="2"/>
        <v>29010</v>
      </c>
      <c r="I9" s="22">
        <f t="shared" si="2"/>
        <v>34290</v>
      </c>
      <c r="J9" s="22">
        <f t="shared" si="2"/>
        <v>25800</v>
      </c>
      <c r="K9" s="22">
        <f t="shared" si="2"/>
        <v>18690</v>
      </c>
      <c r="L9" s="22">
        <f t="shared" si="2"/>
        <v>12270</v>
      </c>
      <c r="M9" s="22">
        <f t="shared" si="2"/>
        <v>16170</v>
      </c>
      <c r="N9" s="22">
        <f t="shared" si="2"/>
        <v>245400</v>
      </c>
    </row>
    <row r="10" spans="1:14" x14ac:dyDescent="0.3">
      <c r="A10" s="2" t="s">
        <v>62</v>
      </c>
      <c r="B10" s="1">
        <v>1950</v>
      </c>
      <c r="C10" s="1">
        <v>1950</v>
      </c>
      <c r="D10" s="1">
        <v>3087.5</v>
      </c>
      <c r="E10" s="1">
        <v>3737.5</v>
      </c>
      <c r="F10" s="1">
        <v>3737.5</v>
      </c>
      <c r="G10" s="1">
        <v>2925</v>
      </c>
      <c r="H10" s="1">
        <v>4550</v>
      </c>
      <c r="I10" s="1">
        <v>5525</v>
      </c>
      <c r="J10" s="1">
        <v>4062.5</v>
      </c>
      <c r="K10" s="1">
        <v>2925</v>
      </c>
      <c r="L10" s="1">
        <v>1950</v>
      </c>
      <c r="M10" s="1">
        <v>2600</v>
      </c>
      <c r="N10">
        <v>39000</v>
      </c>
    </row>
    <row r="11" spans="1:14" x14ac:dyDescent="0.3">
      <c r="A11" s="23" t="s">
        <v>110</v>
      </c>
      <c r="B11" s="1">
        <f>B10*15%</f>
        <v>292.5</v>
      </c>
      <c r="C11" s="1">
        <f t="shared" ref="C11:N11" si="3">C10*15%</f>
        <v>292.5</v>
      </c>
      <c r="D11" s="1">
        <f t="shared" si="3"/>
        <v>463.125</v>
      </c>
      <c r="E11" s="1">
        <f t="shared" si="3"/>
        <v>560.625</v>
      </c>
      <c r="F11" s="1">
        <f t="shared" si="3"/>
        <v>560.625</v>
      </c>
      <c r="G11" s="1">
        <f t="shared" si="3"/>
        <v>438.75</v>
      </c>
      <c r="H11" s="1">
        <f t="shared" si="3"/>
        <v>682.5</v>
      </c>
      <c r="I11" s="1">
        <f t="shared" si="3"/>
        <v>828.75</v>
      </c>
      <c r="J11" s="1">
        <f t="shared" si="3"/>
        <v>609.375</v>
      </c>
      <c r="K11" s="1">
        <f t="shared" si="3"/>
        <v>438.75</v>
      </c>
      <c r="L11" s="1">
        <f t="shared" si="3"/>
        <v>292.5</v>
      </c>
      <c r="M11" s="1">
        <f t="shared" si="3"/>
        <v>390</v>
      </c>
      <c r="N11" s="1">
        <f t="shared" si="3"/>
        <v>5850</v>
      </c>
    </row>
    <row r="12" spans="1:14" x14ac:dyDescent="0.3">
      <c r="A12" t="s">
        <v>41</v>
      </c>
      <c r="B12" s="1">
        <v>2500</v>
      </c>
      <c r="C12" s="1">
        <v>2500</v>
      </c>
      <c r="D12" s="1">
        <v>2500</v>
      </c>
      <c r="E12" s="1">
        <v>2500</v>
      </c>
      <c r="F12" s="1">
        <v>2500</v>
      </c>
      <c r="G12" s="1">
        <v>2500</v>
      </c>
      <c r="H12" s="1">
        <v>2500</v>
      </c>
      <c r="I12" s="1">
        <v>2500</v>
      </c>
      <c r="J12" s="1">
        <v>2500</v>
      </c>
      <c r="K12" s="1">
        <v>2500</v>
      </c>
      <c r="L12" s="1">
        <v>2500</v>
      </c>
      <c r="M12" s="1">
        <v>2500</v>
      </c>
      <c r="N12">
        <f>SUM(Table410[[#This Row],[Column1]:[Column12]])</f>
        <v>30000</v>
      </c>
    </row>
    <row r="13" spans="1:14" x14ac:dyDescent="0.3">
      <c r="A13" s="2" t="s">
        <v>42</v>
      </c>
      <c r="B13" s="1">
        <v>416</v>
      </c>
      <c r="C13" s="1">
        <v>416</v>
      </c>
      <c r="D13" s="1">
        <v>416</v>
      </c>
      <c r="E13" s="1">
        <v>416</v>
      </c>
      <c r="F13" s="1">
        <v>416</v>
      </c>
      <c r="G13" s="1">
        <v>416</v>
      </c>
      <c r="H13" s="1">
        <v>416</v>
      </c>
      <c r="I13" s="1">
        <v>416</v>
      </c>
      <c r="J13" s="1">
        <v>416</v>
      </c>
      <c r="K13" s="1">
        <v>416</v>
      </c>
      <c r="L13" s="1">
        <v>416</v>
      </c>
      <c r="M13" s="1">
        <v>416</v>
      </c>
      <c r="N13">
        <f>SUM(Table410[[#This Row],[Column1]:[Column12]])</f>
        <v>4992</v>
      </c>
    </row>
    <row r="14" spans="1:14" x14ac:dyDescent="0.3">
      <c r="A14" t="s">
        <v>14</v>
      </c>
      <c r="B14" s="1">
        <v>333</v>
      </c>
      <c r="C14" s="1">
        <v>333</v>
      </c>
      <c r="D14" s="1">
        <v>333</v>
      </c>
      <c r="E14" s="1">
        <v>333</v>
      </c>
      <c r="F14" s="1">
        <v>333</v>
      </c>
      <c r="G14" s="1">
        <v>333</v>
      </c>
      <c r="H14" s="1">
        <v>333</v>
      </c>
      <c r="I14" s="1">
        <v>333</v>
      </c>
      <c r="J14" s="1">
        <v>333</v>
      </c>
      <c r="K14" s="1">
        <v>333</v>
      </c>
      <c r="L14" s="1">
        <v>333</v>
      </c>
      <c r="M14" s="1">
        <v>333</v>
      </c>
      <c r="N14">
        <f>SUM(Table410[[#This Row],[Column1]:[Column12]])</f>
        <v>3996</v>
      </c>
    </row>
    <row r="15" spans="1:14" x14ac:dyDescent="0.3">
      <c r="A15" t="s">
        <v>32</v>
      </c>
      <c r="B15" s="1">
        <v>250</v>
      </c>
      <c r="C15" s="1">
        <v>250</v>
      </c>
      <c r="D15" s="1">
        <v>250</v>
      </c>
      <c r="E15" s="1">
        <v>250</v>
      </c>
      <c r="F15" s="1">
        <v>250</v>
      </c>
      <c r="G15" s="1">
        <v>250</v>
      </c>
      <c r="H15" s="1">
        <v>250</v>
      </c>
      <c r="I15" s="1">
        <v>250</v>
      </c>
      <c r="J15" s="1">
        <v>250</v>
      </c>
      <c r="K15" s="1">
        <v>250</v>
      </c>
      <c r="L15" s="1">
        <v>250</v>
      </c>
      <c r="M15" s="1">
        <v>250</v>
      </c>
      <c r="N15">
        <f>SUM(Table410[[#This Row],[Column1]:[Column12]])</f>
        <v>3000</v>
      </c>
    </row>
    <row r="16" spans="1:14" x14ac:dyDescent="0.3">
      <c r="A16" t="s">
        <v>33</v>
      </c>
      <c r="B16" s="1">
        <v>250</v>
      </c>
      <c r="C16" s="1">
        <v>250</v>
      </c>
      <c r="D16" s="1">
        <v>250</v>
      </c>
      <c r="E16" s="1">
        <v>250</v>
      </c>
      <c r="F16" s="1">
        <v>250</v>
      </c>
      <c r="G16" s="1">
        <v>250</v>
      </c>
      <c r="H16" s="1">
        <v>250</v>
      </c>
      <c r="I16" s="1">
        <v>250</v>
      </c>
      <c r="J16" s="1">
        <v>250</v>
      </c>
      <c r="K16" s="1">
        <v>250</v>
      </c>
      <c r="L16" s="1">
        <v>250</v>
      </c>
      <c r="M16" s="1">
        <v>250</v>
      </c>
      <c r="N16">
        <f>SUM(Table410[[#This Row],[Column1]:[Column12]])</f>
        <v>3000</v>
      </c>
    </row>
    <row r="17" spans="1:14" ht="43.2" x14ac:dyDescent="0.3">
      <c r="A17" s="2" t="s">
        <v>34</v>
      </c>
      <c r="B17" s="1">
        <v>416</v>
      </c>
      <c r="C17" s="1">
        <v>416</v>
      </c>
      <c r="D17" s="1">
        <v>416</v>
      </c>
      <c r="E17" s="1">
        <v>416</v>
      </c>
      <c r="F17" s="1">
        <v>416</v>
      </c>
      <c r="G17" s="1">
        <v>416</v>
      </c>
      <c r="H17" s="1">
        <v>416</v>
      </c>
      <c r="I17" s="1">
        <v>416</v>
      </c>
      <c r="J17" s="1">
        <v>416</v>
      </c>
      <c r="K17" s="1">
        <v>416</v>
      </c>
      <c r="L17" s="1">
        <v>416</v>
      </c>
      <c r="M17" s="1">
        <v>416</v>
      </c>
      <c r="N17">
        <f>SUM(Table410[[#This Row],[Column1]:[Column12]])</f>
        <v>4992</v>
      </c>
    </row>
    <row r="18" spans="1:14" x14ac:dyDescent="0.3">
      <c r="A18" s="2"/>
      <c r="N18">
        <f>SUM(Table410[[#This Row],[Column1]:[Column12]])</f>
        <v>0</v>
      </c>
    </row>
    <row r="19" spans="1:14" x14ac:dyDescent="0.3">
      <c r="A19" s="4" t="s">
        <v>111</v>
      </c>
      <c r="B19" s="1">
        <f>SUM(B10:B17)</f>
        <v>6407.5</v>
      </c>
      <c r="C19" s="1">
        <f t="shared" ref="C19:N19" si="4">SUM(C10:C17)</f>
        <v>6407.5</v>
      </c>
      <c r="D19" s="1">
        <f t="shared" si="4"/>
        <v>7715.625</v>
      </c>
      <c r="E19" s="1">
        <f t="shared" si="4"/>
        <v>8463.125</v>
      </c>
      <c r="F19" s="1">
        <f t="shared" si="4"/>
        <v>8463.125</v>
      </c>
      <c r="G19" s="1">
        <f t="shared" si="4"/>
        <v>7528.75</v>
      </c>
      <c r="H19" s="1">
        <f t="shared" si="4"/>
        <v>9397.5</v>
      </c>
      <c r="I19" s="1">
        <f t="shared" si="4"/>
        <v>10518.75</v>
      </c>
      <c r="J19" s="1">
        <f t="shared" si="4"/>
        <v>8836.875</v>
      </c>
      <c r="K19" s="1">
        <f t="shared" si="4"/>
        <v>7528.75</v>
      </c>
      <c r="L19" s="1">
        <f t="shared" si="4"/>
        <v>6407.5</v>
      </c>
      <c r="M19" s="1">
        <f t="shared" si="4"/>
        <v>7155</v>
      </c>
      <c r="N19" s="1">
        <f t="shared" si="4"/>
        <v>94830</v>
      </c>
    </row>
    <row r="20" spans="1:14" x14ac:dyDescent="0.3">
      <c r="A20" s="4" t="s">
        <v>112</v>
      </c>
      <c r="B20" s="13">
        <f>B7</f>
        <v>6135</v>
      </c>
      <c r="C20" s="13">
        <f t="shared" ref="C20:N20" si="5">C7</f>
        <v>6420</v>
      </c>
      <c r="D20" s="13">
        <f t="shared" si="5"/>
        <v>9690</v>
      </c>
      <c r="E20" s="13">
        <f t="shared" si="5"/>
        <v>11640</v>
      </c>
      <c r="F20" s="13">
        <f t="shared" si="5"/>
        <v>11640</v>
      </c>
      <c r="G20" s="13">
        <f t="shared" si="5"/>
        <v>9060</v>
      </c>
      <c r="H20" s="13">
        <f t="shared" si="5"/>
        <v>14505</v>
      </c>
      <c r="I20" s="13">
        <f t="shared" si="5"/>
        <v>17145</v>
      </c>
      <c r="J20" s="13">
        <f t="shared" si="5"/>
        <v>12900</v>
      </c>
      <c r="K20" s="13">
        <f t="shared" si="5"/>
        <v>9345</v>
      </c>
      <c r="L20" s="13">
        <f t="shared" si="5"/>
        <v>6135</v>
      </c>
      <c r="M20" s="13">
        <f t="shared" si="5"/>
        <v>8085</v>
      </c>
      <c r="N20" s="13">
        <f t="shared" si="5"/>
        <v>122700</v>
      </c>
    </row>
    <row r="21" spans="1:14" x14ac:dyDescent="0.3">
      <c r="A21" s="4" t="s">
        <v>113</v>
      </c>
      <c r="B21" s="13">
        <f>B19</f>
        <v>6407.5</v>
      </c>
      <c r="C21" s="13">
        <f t="shared" ref="C21:N21" si="6">C19</f>
        <v>6407.5</v>
      </c>
      <c r="D21" s="13">
        <f t="shared" si="6"/>
        <v>7715.625</v>
      </c>
      <c r="E21" s="13">
        <f t="shared" si="6"/>
        <v>8463.125</v>
      </c>
      <c r="F21" s="13">
        <f t="shared" si="6"/>
        <v>8463.125</v>
      </c>
      <c r="G21" s="13">
        <f t="shared" si="6"/>
        <v>7528.75</v>
      </c>
      <c r="H21" s="13">
        <f t="shared" si="6"/>
        <v>9397.5</v>
      </c>
      <c r="I21" s="13">
        <f t="shared" si="6"/>
        <v>10518.75</v>
      </c>
      <c r="J21" s="13">
        <f t="shared" si="6"/>
        <v>8836.875</v>
      </c>
      <c r="K21" s="13">
        <f t="shared" si="6"/>
        <v>7528.75</v>
      </c>
      <c r="L21" s="13">
        <f t="shared" si="6"/>
        <v>6407.5</v>
      </c>
      <c r="M21" s="13">
        <f t="shared" si="6"/>
        <v>7155</v>
      </c>
      <c r="N21" s="13">
        <f t="shared" si="6"/>
        <v>94830</v>
      </c>
    </row>
    <row r="22" spans="1:14" x14ac:dyDescent="0.3">
      <c r="A22" s="4" t="s">
        <v>114</v>
      </c>
      <c r="B22" s="13">
        <f>B20-B21</f>
        <v>-272.5</v>
      </c>
      <c r="C22" s="13">
        <f t="shared" ref="C22:N22" si="7">C20-C21</f>
        <v>12.5</v>
      </c>
      <c r="D22" s="13">
        <f t="shared" si="7"/>
        <v>1974.375</v>
      </c>
      <c r="E22" s="13">
        <f t="shared" si="7"/>
        <v>3176.875</v>
      </c>
      <c r="F22" s="13">
        <f t="shared" si="7"/>
        <v>3176.875</v>
      </c>
      <c r="G22" s="13">
        <f t="shared" si="7"/>
        <v>1531.25</v>
      </c>
      <c r="H22" s="13">
        <f t="shared" si="7"/>
        <v>5107.5</v>
      </c>
      <c r="I22" s="13">
        <f t="shared" si="7"/>
        <v>6626.25</v>
      </c>
      <c r="J22" s="13">
        <f t="shared" si="7"/>
        <v>4063.125</v>
      </c>
      <c r="K22" s="13">
        <f t="shared" si="7"/>
        <v>1816.25</v>
      </c>
      <c r="L22" s="13">
        <f t="shared" si="7"/>
        <v>-272.5</v>
      </c>
      <c r="M22" s="13">
        <f t="shared" si="7"/>
        <v>930</v>
      </c>
      <c r="N22" s="13">
        <f t="shared" si="7"/>
        <v>27870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A75D-F689-4EC9-8A66-F902BC445006}">
  <dimension ref="A1:N21"/>
  <sheetViews>
    <sheetView zoomScale="92" workbookViewId="0">
      <selection activeCell="A8" sqref="A8"/>
    </sheetView>
  </sheetViews>
  <sheetFormatPr defaultRowHeight="14.4" x14ac:dyDescent="0.3"/>
  <cols>
    <col min="1" max="1" width="25.33203125" bestFit="1" customWidth="1"/>
    <col min="2" max="7" width="18.44140625" bestFit="1" customWidth="1"/>
    <col min="8" max="9" width="10.6640625" bestFit="1" customWidth="1"/>
    <col min="10" max="10" width="10.77734375" bestFit="1" customWidth="1"/>
    <col min="11" max="12" width="11.6640625" bestFit="1" customWidth="1"/>
  </cols>
  <sheetData>
    <row r="1" spans="1:14" ht="23.4" x14ac:dyDescent="0.45">
      <c r="A1" s="20" t="s">
        <v>43</v>
      </c>
      <c r="B1" s="20" t="s">
        <v>86</v>
      </c>
      <c r="C1" s="20" t="s">
        <v>87</v>
      </c>
      <c r="D1" s="20" t="s">
        <v>88</v>
      </c>
      <c r="E1" s="20" t="s">
        <v>89</v>
      </c>
      <c r="F1" s="20" t="s">
        <v>90</v>
      </c>
      <c r="G1" s="20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</row>
    <row r="2" spans="1:14" x14ac:dyDescent="0.3">
      <c r="A2" s="4" t="s">
        <v>25</v>
      </c>
      <c r="B2" s="4" t="s">
        <v>72</v>
      </c>
      <c r="C2" s="4" t="s">
        <v>73</v>
      </c>
      <c r="D2" s="4" t="s">
        <v>74</v>
      </c>
      <c r="E2" s="4" t="s">
        <v>75</v>
      </c>
      <c r="F2" s="4" t="s">
        <v>76</v>
      </c>
      <c r="G2" s="4" t="s">
        <v>77</v>
      </c>
      <c r="H2" s="4" t="s">
        <v>78</v>
      </c>
      <c r="I2" s="4" t="s">
        <v>79</v>
      </c>
      <c r="J2" s="4" t="s">
        <v>80</v>
      </c>
      <c r="K2" s="4" t="s">
        <v>81</v>
      </c>
      <c r="L2" s="4" t="s">
        <v>82</v>
      </c>
      <c r="M2" s="4" t="s">
        <v>83</v>
      </c>
    </row>
    <row r="3" spans="1:14" x14ac:dyDescent="0.3">
      <c r="A3" t="s">
        <v>65</v>
      </c>
      <c r="B3">
        <v>5</v>
      </c>
      <c r="C3">
        <v>7</v>
      </c>
      <c r="D3">
        <v>10</v>
      </c>
      <c r="E3">
        <v>13</v>
      </c>
      <c r="F3">
        <v>12</v>
      </c>
      <c r="G3">
        <v>15</v>
      </c>
      <c r="H3">
        <v>10</v>
      </c>
      <c r="I3">
        <v>14</v>
      </c>
      <c r="J3">
        <v>10</v>
      </c>
      <c r="K3">
        <v>8</v>
      </c>
      <c r="L3">
        <v>10</v>
      </c>
      <c r="M3">
        <v>6</v>
      </c>
      <c r="N3">
        <f>SUM(Table611[[#This Row],[Column1]:[Column12]])</f>
        <v>120</v>
      </c>
    </row>
    <row r="4" spans="1:14" x14ac:dyDescent="0.3">
      <c r="A4" t="s">
        <v>61</v>
      </c>
      <c r="B4">
        <v>3</v>
      </c>
      <c r="C4">
        <v>2</v>
      </c>
      <c r="D4">
        <v>5</v>
      </c>
      <c r="E4">
        <v>10</v>
      </c>
      <c r="F4">
        <v>6</v>
      </c>
      <c r="G4">
        <v>8</v>
      </c>
      <c r="H4">
        <v>7</v>
      </c>
      <c r="I4">
        <v>10</v>
      </c>
      <c r="J4">
        <v>8</v>
      </c>
      <c r="K4">
        <v>4</v>
      </c>
      <c r="L4">
        <v>5</v>
      </c>
      <c r="M4">
        <v>2</v>
      </c>
      <c r="N4">
        <f>SUM(Table611[[#This Row],[Column1]:[Column12]])</f>
        <v>70</v>
      </c>
    </row>
    <row r="5" spans="1:14" x14ac:dyDescent="0.3">
      <c r="B5" s="1">
        <v>17000</v>
      </c>
      <c r="C5" s="1">
        <v>20500</v>
      </c>
      <c r="D5" s="1">
        <v>32500</v>
      </c>
      <c r="E5" s="1">
        <v>47500</v>
      </c>
      <c r="F5" s="1">
        <v>39000</v>
      </c>
      <c r="G5" s="1">
        <v>49500</v>
      </c>
      <c r="H5" s="1">
        <v>35500</v>
      </c>
      <c r="I5" s="1">
        <v>50000</v>
      </c>
      <c r="J5" s="1">
        <v>37000</v>
      </c>
      <c r="K5" s="1">
        <v>26000</v>
      </c>
      <c r="L5" s="1">
        <v>32500</v>
      </c>
      <c r="M5" s="1">
        <v>18000</v>
      </c>
      <c r="N5">
        <v>405000</v>
      </c>
    </row>
    <row r="6" spans="1:14" ht="15.6" x14ac:dyDescent="0.3">
      <c r="A6" s="25" t="s">
        <v>101</v>
      </c>
      <c r="B6" s="1">
        <f>B5-B7</f>
        <v>8500</v>
      </c>
      <c r="C6" s="1">
        <f t="shared" ref="C6:N6" si="0">C5-C7</f>
        <v>10250</v>
      </c>
      <c r="D6" s="1">
        <f t="shared" si="0"/>
        <v>16250</v>
      </c>
      <c r="E6" s="1">
        <f t="shared" si="0"/>
        <v>23750</v>
      </c>
      <c r="F6" s="1">
        <f t="shared" si="0"/>
        <v>19500</v>
      </c>
      <c r="G6" s="1">
        <f t="shared" si="0"/>
        <v>24750</v>
      </c>
      <c r="H6" s="1">
        <f t="shared" si="0"/>
        <v>17750</v>
      </c>
      <c r="I6" s="1">
        <f t="shared" si="0"/>
        <v>25000</v>
      </c>
      <c r="J6" s="1">
        <f t="shared" si="0"/>
        <v>18500</v>
      </c>
      <c r="K6" s="1">
        <f t="shared" si="0"/>
        <v>13000</v>
      </c>
      <c r="L6" s="1">
        <f t="shared" si="0"/>
        <v>16250</v>
      </c>
      <c r="M6" s="1">
        <f t="shared" si="0"/>
        <v>9000</v>
      </c>
      <c r="N6" s="1">
        <f t="shared" si="0"/>
        <v>202500</v>
      </c>
    </row>
    <row r="7" spans="1:14" x14ac:dyDescent="0.3">
      <c r="A7" s="26" t="s">
        <v>109</v>
      </c>
      <c r="B7" s="1">
        <f>B5*0.5</f>
        <v>8500</v>
      </c>
      <c r="C7" s="1">
        <f t="shared" ref="C7:N7" si="1">C5*0.5</f>
        <v>10250</v>
      </c>
      <c r="D7" s="1">
        <f t="shared" si="1"/>
        <v>16250</v>
      </c>
      <c r="E7" s="1">
        <f t="shared" si="1"/>
        <v>23750</v>
      </c>
      <c r="F7" s="1">
        <f t="shared" si="1"/>
        <v>19500</v>
      </c>
      <c r="G7" s="1">
        <f t="shared" si="1"/>
        <v>24750</v>
      </c>
      <c r="H7" s="1">
        <f t="shared" si="1"/>
        <v>17750</v>
      </c>
      <c r="I7" s="1">
        <f t="shared" si="1"/>
        <v>25000</v>
      </c>
      <c r="J7" s="1">
        <f t="shared" si="1"/>
        <v>18500</v>
      </c>
      <c r="K7" s="1">
        <f t="shared" si="1"/>
        <v>13000</v>
      </c>
      <c r="L7" s="1">
        <f t="shared" si="1"/>
        <v>16250</v>
      </c>
      <c r="M7" s="1">
        <f t="shared" si="1"/>
        <v>9000</v>
      </c>
      <c r="N7" s="1">
        <f t="shared" si="1"/>
        <v>202500</v>
      </c>
    </row>
    <row r="8" spans="1:14" x14ac:dyDescent="0.3">
      <c r="A8" s="26" t="s">
        <v>103</v>
      </c>
      <c r="B8" s="1">
        <f>B5</f>
        <v>17000</v>
      </c>
      <c r="C8" s="1">
        <f t="shared" ref="C8:N8" si="2">C5</f>
        <v>20500</v>
      </c>
      <c r="D8" s="1">
        <f t="shared" si="2"/>
        <v>32500</v>
      </c>
      <c r="E8" s="1">
        <f t="shared" si="2"/>
        <v>47500</v>
      </c>
      <c r="F8" s="1">
        <f t="shared" si="2"/>
        <v>39000</v>
      </c>
      <c r="G8" s="1">
        <f t="shared" si="2"/>
        <v>49500</v>
      </c>
      <c r="H8" s="1">
        <f t="shared" si="2"/>
        <v>35500</v>
      </c>
      <c r="I8" s="1">
        <f t="shared" si="2"/>
        <v>50000</v>
      </c>
      <c r="J8" s="1">
        <f t="shared" si="2"/>
        <v>37000</v>
      </c>
      <c r="K8" s="1">
        <f t="shared" si="2"/>
        <v>26000</v>
      </c>
      <c r="L8" s="1">
        <f t="shared" si="2"/>
        <v>32500</v>
      </c>
      <c r="M8" s="1">
        <f t="shared" si="2"/>
        <v>18000</v>
      </c>
      <c r="N8" s="1">
        <f t="shared" si="2"/>
        <v>405000</v>
      </c>
    </row>
    <row r="9" spans="1:14" x14ac:dyDescent="0.3">
      <c r="A9" s="4"/>
      <c r="B9" s="4"/>
    </row>
    <row r="10" spans="1:14" x14ac:dyDescent="0.3">
      <c r="A10" s="2" t="s">
        <v>62</v>
      </c>
      <c r="B10" s="1">
        <v>3400</v>
      </c>
      <c r="C10" s="1">
        <v>4100</v>
      </c>
      <c r="D10" s="1">
        <v>6500</v>
      </c>
      <c r="E10" s="1">
        <v>9500</v>
      </c>
      <c r="F10" s="1">
        <v>7800</v>
      </c>
      <c r="G10" s="1">
        <v>9900</v>
      </c>
      <c r="H10" s="1">
        <v>7100</v>
      </c>
      <c r="I10" s="1">
        <v>10000</v>
      </c>
      <c r="J10" s="1">
        <v>7400</v>
      </c>
      <c r="K10" s="1">
        <v>5200</v>
      </c>
      <c r="L10" s="1">
        <v>6500</v>
      </c>
      <c r="M10" s="1">
        <v>3600</v>
      </c>
      <c r="N10">
        <v>81000</v>
      </c>
    </row>
    <row r="11" spans="1:14" x14ac:dyDescent="0.3">
      <c r="A11" s="24" t="s">
        <v>104</v>
      </c>
      <c r="B11" s="1">
        <f>B10*15%</f>
        <v>510</v>
      </c>
      <c r="C11" s="1">
        <f t="shared" ref="C11:N11" si="3">C10*15%</f>
        <v>615</v>
      </c>
      <c r="D11" s="1">
        <f t="shared" si="3"/>
        <v>975</v>
      </c>
      <c r="E11" s="1">
        <f t="shared" si="3"/>
        <v>1425</v>
      </c>
      <c r="F11" s="1">
        <f t="shared" si="3"/>
        <v>1170</v>
      </c>
      <c r="G11" s="1">
        <f t="shared" si="3"/>
        <v>1485</v>
      </c>
      <c r="H11" s="1">
        <f t="shared" si="3"/>
        <v>1065</v>
      </c>
      <c r="I11" s="1">
        <f t="shared" si="3"/>
        <v>1500</v>
      </c>
      <c r="J11" s="1">
        <f t="shared" si="3"/>
        <v>1110</v>
      </c>
      <c r="K11" s="1">
        <f t="shared" si="3"/>
        <v>780</v>
      </c>
      <c r="L11" s="1">
        <f t="shared" si="3"/>
        <v>975</v>
      </c>
      <c r="M11" s="1">
        <f t="shared" si="3"/>
        <v>540</v>
      </c>
      <c r="N11" s="1">
        <f t="shared" si="3"/>
        <v>12150</v>
      </c>
    </row>
    <row r="12" spans="1:14" x14ac:dyDescent="0.3">
      <c r="A12" t="s">
        <v>41</v>
      </c>
      <c r="B12" s="1">
        <v>3333</v>
      </c>
      <c r="C12" s="1">
        <v>3333</v>
      </c>
      <c r="D12" s="1">
        <v>3333</v>
      </c>
      <c r="E12" s="1">
        <v>3333</v>
      </c>
      <c r="F12" s="1">
        <v>3333</v>
      </c>
      <c r="G12" s="1">
        <v>3333</v>
      </c>
      <c r="H12" s="1">
        <v>3333</v>
      </c>
      <c r="I12" s="1">
        <v>3333</v>
      </c>
      <c r="J12" s="1">
        <v>3333</v>
      </c>
      <c r="K12" s="1">
        <v>3333</v>
      </c>
      <c r="L12" s="1">
        <v>3333</v>
      </c>
      <c r="M12" s="1">
        <v>3333</v>
      </c>
      <c r="N12">
        <f>SUM(Table611[[#This Row],[Column1]:[Column12]])</f>
        <v>39996</v>
      </c>
    </row>
    <row r="13" spans="1:14" x14ac:dyDescent="0.3">
      <c r="A13" t="s">
        <v>42</v>
      </c>
      <c r="B13" s="1">
        <v>500</v>
      </c>
      <c r="C13" s="1">
        <v>500</v>
      </c>
      <c r="D13" s="1">
        <v>500</v>
      </c>
      <c r="E13" s="1">
        <v>500</v>
      </c>
      <c r="F13" s="1">
        <v>500</v>
      </c>
      <c r="G13" s="1">
        <v>500</v>
      </c>
      <c r="H13" s="1">
        <v>500</v>
      </c>
      <c r="I13" s="1">
        <v>500</v>
      </c>
      <c r="J13" s="1">
        <v>500</v>
      </c>
      <c r="K13" s="1">
        <v>500</v>
      </c>
      <c r="L13" s="1">
        <v>500</v>
      </c>
      <c r="M13" s="1">
        <v>500</v>
      </c>
      <c r="N13">
        <f>SUM(Table611[[#This Row],[Column1]:[Column12]])</f>
        <v>6000</v>
      </c>
    </row>
    <row r="14" spans="1:14" x14ac:dyDescent="0.3">
      <c r="A14" t="s">
        <v>14</v>
      </c>
      <c r="B14" s="1">
        <v>333</v>
      </c>
      <c r="C14" s="1">
        <v>333</v>
      </c>
      <c r="D14" s="1">
        <v>333</v>
      </c>
      <c r="E14" s="1">
        <v>333</v>
      </c>
      <c r="F14" s="1">
        <v>333</v>
      </c>
      <c r="G14" s="1">
        <v>333</v>
      </c>
      <c r="H14" s="1">
        <v>333</v>
      </c>
      <c r="I14" s="1">
        <v>333</v>
      </c>
      <c r="J14" s="1">
        <v>333</v>
      </c>
      <c r="K14" s="1">
        <v>333</v>
      </c>
      <c r="L14" s="1">
        <v>333</v>
      </c>
      <c r="M14" s="1">
        <v>333</v>
      </c>
      <c r="N14">
        <f>SUM(Table611[[#This Row],[Column1]:[Column12]])</f>
        <v>3996</v>
      </c>
    </row>
    <row r="15" spans="1:14" x14ac:dyDescent="0.3">
      <c r="A15" t="s">
        <v>32</v>
      </c>
      <c r="B15" s="1">
        <v>291.60000000000002</v>
      </c>
      <c r="C15" s="1">
        <v>291.60000000000002</v>
      </c>
      <c r="D15" s="1">
        <v>291.60000000000002</v>
      </c>
      <c r="E15" s="1">
        <v>291.60000000000002</v>
      </c>
      <c r="F15" s="1">
        <v>291.60000000000002</v>
      </c>
      <c r="G15" s="1">
        <v>291.60000000000002</v>
      </c>
      <c r="H15" s="1">
        <v>291.60000000000002</v>
      </c>
      <c r="I15" s="1">
        <v>291.60000000000002</v>
      </c>
      <c r="J15" s="1">
        <v>291.60000000000002</v>
      </c>
      <c r="K15" s="1">
        <v>291.60000000000002</v>
      </c>
      <c r="L15" s="1">
        <v>291.60000000000002</v>
      </c>
      <c r="M15" s="1">
        <v>291.60000000000002</v>
      </c>
      <c r="N15">
        <f>SUM(Table611[[#This Row],[Column1]:[Column12]])</f>
        <v>3499.1999999999994</v>
      </c>
    </row>
    <row r="16" spans="1:14" x14ac:dyDescent="0.3">
      <c r="A16" t="s">
        <v>33</v>
      </c>
      <c r="B16" s="1">
        <v>291.60000000000002</v>
      </c>
      <c r="C16" s="1">
        <v>291.60000000000002</v>
      </c>
      <c r="D16" s="1">
        <v>291.60000000000002</v>
      </c>
      <c r="E16" s="1">
        <v>291.60000000000002</v>
      </c>
      <c r="F16" s="1">
        <v>291.60000000000002</v>
      </c>
      <c r="G16" s="1">
        <v>291.60000000000002</v>
      </c>
      <c r="H16" s="1">
        <v>291.60000000000002</v>
      </c>
      <c r="I16" s="1">
        <v>291.60000000000002</v>
      </c>
      <c r="J16" s="1">
        <v>291.60000000000002</v>
      </c>
      <c r="K16" s="1">
        <v>291.60000000000002</v>
      </c>
      <c r="L16" s="1">
        <v>291.60000000000002</v>
      </c>
      <c r="M16" s="1">
        <v>291.60000000000002</v>
      </c>
      <c r="N16">
        <f t="shared" ref="N16" si="4">SUM(B17:M17)</f>
        <v>4999.2000000000007</v>
      </c>
    </row>
    <row r="17" spans="1:14" ht="43.2" x14ac:dyDescent="0.3">
      <c r="A17" s="2" t="s">
        <v>34</v>
      </c>
      <c r="B17" s="1">
        <v>416.6</v>
      </c>
      <c r="C17" s="1">
        <v>416.6</v>
      </c>
      <c r="D17" s="1">
        <v>416.6</v>
      </c>
      <c r="E17" s="1">
        <v>416.6</v>
      </c>
      <c r="F17" s="1">
        <v>416.6</v>
      </c>
      <c r="G17" s="1">
        <v>416.6</v>
      </c>
      <c r="H17" s="1">
        <v>416.6</v>
      </c>
      <c r="I17" s="1">
        <v>416.6</v>
      </c>
      <c r="J17" s="1">
        <v>416.6</v>
      </c>
      <c r="K17" s="1">
        <v>416.6</v>
      </c>
      <c r="L17" s="1">
        <v>416.6</v>
      </c>
      <c r="M17" s="1">
        <v>416.6</v>
      </c>
      <c r="N17">
        <f>SUM(Table611[[#This Row],[Column1]:[Column12]])</f>
        <v>4999.2000000000007</v>
      </c>
    </row>
    <row r="18" spans="1:14" x14ac:dyDescent="0.3">
      <c r="A18" s="4" t="s">
        <v>111</v>
      </c>
      <c r="B18" s="1">
        <f>SUM(B10:B17)</f>
        <v>9075.8000000000011</v>
      </c>
      <c r="C18" s="1">
        <f t="shared" ref="C18:N18" si="5">SUM(C10:C17)</f>
        <v>9880.8000000000011</v>
      </c>
      <c r="D18" s="1">
        <f t="shared" si="5"/>
        <v>12640.800000000001</v>
      </c>
      <c r="E18" s="1">
        <f t="shared" si="5"/>
        <v>16090.800000000001</v>
      </c>
      <c r="F18" s="1">
        <f t="shared" si="5"/>
        <v>14135.800000000001</v>
      </c>
      <c r="G18" s="1">
        <f t="shared" si="5"/>
        <v>16550.8</v>
      </c>
      <c r="H18" s="1">
        <f t="shared" si="5"/>
        <v>13330.800000000001</v>
      </c>
      <c r="I18" s="1">
        <f t="shared" si="5"/>
        <v>16665.8</v>
      </c>
      <c r="J18" s="1">
        <f t="shared" si="5"/>
        <v>13675.800000000001</v>
      </c>
      <c r="K18" s="1">
        <f t="shared" si="5"/>
        <v>11145.800000000001</v>
      </c>
      <c r="L18" s="1">
        <f t="shared" si="5"/>
        <v>12640.800000000001</v>
      </c>
      <c r="M18" s="1">
        <f t="shared" si="5"/>
        <v>9305.8000000000011</v>
      </c>
      <c r="N18" s="1">
        <f t="shared" si="5"/>
        <v>156639.60000000003</v>
      </c>
    </row>
    <row r="19" spans="1:14" x14ac:dyDescent="0.3">
      <c r="A19" s="4" t="s">
        <v>112</v>
      </c>
      <c r="B19" s="1">
        <f>B6</f>
        <v>8500</v>
      </c>
      <c r="C19" s="1">
        <f t="shared" ref="C19:N19" si="6">C6</f>
        <v>10250</v>
      </c>
      <c r="D19" s="1">
        <f t="shared" si="6"/>
        <v>16250</v>
      </c>
      <c r="E19" s="1">
        <f t="shared" si="6"/>
        <v>23750</v>
      </c>
      <c r="F19" s="1">
        <f t="shared" si="6"/>
        <v>19500</v>
      </c>
      <c r="G19" s="1">
        <f t="shared" si="6"/>
        <v>24750</v>
      </c>
      <c r="H19" s="1">
        <f t="shared" si="6"/>
        <v>17750</v>
      </c>
      <c r="I19" s="1">
        <f t="shared" si="6"/>
        <v>25000</v>
      </c>
      <c r="J19" s="1">
        <f t="shared" si="6"/>
        <v>18500</v>
      </c>
      <c r="K19" s="1">
        <f t="shared" si="6"/>
        <v>13000</v>
      </c>
      <c r="L19" s="1">
        <f t="shared" si="6"/>
        <v>16250</v>
      </c>
      <c r="M19" s="1">
        <f t="shared" si="6"/>
        <v>9000</v>
      </c>
      <c r="N19" s="1">
        <f t="shared" si="6"/>
        <v>202500</v>
      </c>
    </row>
    <row r="20" spans="1:14" x14ac:dyDescent="0.3">
      <c r="A20" s="4" t="s">
        <v>113</v>
      </c>
      <c r="B20" s="1">
        <f>B18</f>
        <v>9075.8000000000011</v>
      </c>
      <c r="C20" s="1">
        <f t="shared" ref="C20:N20" si="7">C18</f>
        <v>9880.8000000000011</v>
      </c>
      <c r="D20" s="1">
        <f t="shared" si="7"/>
        <v>12640.800000000001</v>
      </c>
      <c r="E20" s="1">
        <f t="shared" si="7"/>
        <v>16090.800000000001</v>
      </c>
      <c r="F20" s="1">
        <f t="shared" si="7"/>
        <v>14135.800000000001</v>
      </c>
      <c r="G20" s="1">
        <f t="shared" si="7"/>
        <v>16550.8</v>
      </c>
      <c r="H20" s="1">
        <f t="shared" si="7"/>
        <v>13330.800000000001</v>
      </c>
      <c r="I20" s="1">
        <f t="shared" si="7"/>
        <v>16665.8</v>
      </c>
      <c r="J20" s="1">
        <f t="shared" si="7"/>
        <v>13675.800000000001</v>
      </c>
      <c r="K20" s="1">
        <f t="shared" si="7"/>
        <v>11145.800000000001</v>
      </c>
      <c r="L20" s="1">
        <f t="shared" si="7"/>
        <v>12640.800000000001</v>
      </c>
      <c r="M20" s="1">
        <f t="shared" si="7"/>
        <v>9305.8000000000011</v>
      </c>
      <c r="N20" s="1">
        <f t="shared" si="7"/>
        <v>156639.60000000003</v>
      </c>
    </row>
    <row r="21" spans="1:14" x14ac:dyDescent="0.3">
      <c r="A21" s="4" t="s">
        <v>114</v>
      </c>
      <c r="B21" s="1">
        <f>B19-B20</f>
        <v>-575.80000000000109</v>
      </c>
      <c r="C21" s="1">
        <f t="shared" ref="C21:N21" si="8">C19-C20</f>
        <v>369.19999999999891</v>
      </c>
      <c r="D21" s="1">
        <f t="shared" si="8"/>
        <v>3609.1999999999989</v>
      </c>
      <c r="E21" s="1">
        <f t="shared" si="8"/>
        <v>7659.1999999999989</v>
      </c>
      <c r="F21" s="1">
        <f t="shared" si="8"/>
        <v>5364.1999999999989</v>
      </c>
      <c r="G21" s="1">
        <f t="shared" si="8"/>
        <v>8199.2000000000007</v>
      </c>
      <c r="H21" s="1">
        <f t="shared" si="8"/>
        <v>4419.1999999999989</v>
      </c>
      <c r="I21" s="1">
        <f t="shared" si="8"/>
        <v>8334.2000000000007</v>
      </c>
      <c r="J21" s="1">
        <f t="shared" si="8"/>
        <v>4824.1999999999989</v>
      </c>
      <c r="K21" s="1">
        <f t="shared" si="8"/>
        <v>1854.1999999999989</v>
      </c>
      <c r="L21" s="1">
        <f t="shared" si="8"/>
        <v>3609.1999999999989</v>
      </c>
      <c r="M21" s="1">
        <f t="shared" si="8"/>
        <v>-305.80000000000109</v>
      </c>
      <c r="N21" s="1">
        <f t="shared" si="8"/>
        <v>45860.399999999965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A36B-63FA-4FBE-A6A8-5C965BC128AC}">
  <dimension ref="A1:D11"/>
  <sheetViews>
    <sheetView workbookViewId="0">
      <selection activeCell="G11" sqref="G11"/>
    </sheetView>
  </sheetViews>
  <sheetFormatPr defaultRowHeight="14.4" x14ac:dyDescent="0.3"/>
  <cols>
    <col min="1" max="1" width="19.6640625" bestFit="1" customWidth="1"/>
  </cols>
  <sheetData>
    <row r="1" spans="1:4" x14ac:dyDescent="0.3">
      <c r="A1" t="s">
        <v>117</v>
      </c>
      <c r="B1" t="s">
        <v>118</v>
      </c>
      <c r="C1" t="s">
        <v>119</v>
      </c>
      <c r="D1" t="s">
        <v>120</v>
      </c>
    </row>
    <row r="2" spans="1:4" x14ac:dyDescent="0.3">
      <c r="A2" s="28" t="s">
        <v>121</v>
      </c>
      <c r="B2" s="28"/>
      <c r="C2" s="28"/>
      <c r="D2" s="28"/>
    </row>
    <row r="3" spans="1:4" x14ac:dyDescent="0.3">
      <c r="A3" t="s">
        <v>122</v>
      </c>
      <c r="B3">
        <f>'Cash Flow Year 1'!N7</f>
        <v>66500</v>
      </c>
      <c r="C3" s="1">
        <f>'Cash Flow Year 2'!N7</f>
        <v>122700</v>
      </c>
      <c r="D3" s="1">
        <f>'Cash Flow Year 3'!N6</f>
        <v>202500</v>
      </c>
    </row>
    <row r="4" spans="1:4" x14ac:dyDescent="0.3">
      <c r="A4" t="s">
        <v>123</v>
      </c>
      <c r="B4">
        <f>'Cash Flow Year 1'!N8</f>
        <v>66500</v>
      </c>
      <c r="C4" s="1">
        <f>'Cash Flow Year 2'!N8</f>
        <v>122700</v>
      </c>
      <c r="D4" s="1">
        <f>'Cash Flow Year 3'!N7</f>
        <v>202500</v>
      </c>
    </row>
    <row r="5" spans="1:4" x14ac:dyDescent="0.3">
      <c r="A5" t="s">
        <v>124</v>
      </c>
      <c r="B5">
        <f>B3+B4</f>
        <v>133000</v>
      </c>
      <c r="C5" s="1">
        <f>SUM(C3+C4)</f>
        <v>245400</v>
      </c>
      <c r="D5" s="1">
        <f>SUM(D3+D4)</f>
        <v>405000</v>
      </c>
    </row>
    <row r="7" spans="1:4" x14ac:dyDescent="0.3">
      <c r="A7" s="28" t="s">
        <v>125</v>
      </c>
      <c r="B7" s="28"/>
      <c r="C7" s="28"/>
      <c r="D7" s="28"/>
    </row>
    <row r="8" spans="1:4" x14ac:dyDescent="0.3">
      <c r="A8" s="2" t="s">
        <v>126</v>
      </c>
      <c r="B8" s="1">
        <f>'Cash Flow Year 1'!N12</f>
        <v>9975</v>
      </c>
      <c r="C8" s="1">
        <f>'Cash Flow Year 2'!N11</f>
        <v>5850</v>
      </c>
      <c r="D8" s="1">
        <f>'Cash Flow Year 3'!N11</f>
        <v>12150</v>
      </c>
    </row>
    <row r="9" spans="1:4" x14ac:dyDescent="0.3">
      <c r="A9" s="2" t="s">
        <v>129</v>
      </c>
      <c r="B9" s="1">
        <f>B8</f>
        <v>9975</v>
      </c>
      <c r="C9" s="1">
        <f>C8</f>
        <v>5850</v>
      </c>
      <c r="D9" s="1">
        <f>D8</f>
        <v>12150</v>
      </c>
    </row>
    <row r="10" spans="1:4" x14ac:dyDescent="0.3">
      <c r="A10" t="s">
        <v>127</v>
      </c>
      <c r="B10" s="1">
        <f>B5-B9</f>
        <v>123025</v>
      </c>
      <c r="C10" s="1">
        <f>C5-C9</f>
        <v>239550</v>
      </c>
      <c r="D10" s="1">
        <f>D5-D9</f>
        <v>392850</v>
      </c>
    </row>
    <row r="11" spans="1:4" x14ac:dyDescent="0.3">
      <c r="A11" t="s">
        <v>128</v>
      </c>
      <c r="B11" s="1">
        <f>B10+B9</f>
        <v>133000</v>
      </c>
      <c r="C11" s="1">
        <f>C10+C9</f>
        <v>245400</v>
      </c>
      <c r="D11" s="1">
        <f>D10+D9</f>
        <v>405000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Start-up cost </vt:lpstr>
      <vt:lpstr>Income Year 1</vt:lpstr>
      <vt:lpstr>Income year 2</vt:lpstr>
      <vt:lpstr>Income Year 3</vt:lpstr>
      <vt:lpstr>Cash Flow Year 1</vt:lpstr>
      <vt:lpstr>Cash Flow Year 2</vt:lpstr>
      <vt:lpstr>Cash Flow Year 3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jatinkumar dhuria</dc:creator>
  <cp:lastModifiedBy>jatinkumar dhuria</cp:lastModifiedBy>
  <dcterms:created xsi:type="dcterms:W3CDTF">2025-11-05T21:13:16Z</dcterms:created>
  <dcterms:modified xsi:type="dcterms:W3CDTF">2025-11-20T01:42:27Z</dcterms:modified>
</cp:coreProperties>
</file>